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SC\website_bestanden\Downloads\"/>
    </mc:Choice>
  </mc:AlternateContent>
  <workbookProtection workbookAlgorithmName="SHA-512" workbookHashValue="ATAS8ygoGtHIiytOGMpOPuZ0RGsLbsPNPB3WRO45sF2p2M2PDHm8BMlcVgqLJlJhpROz1DLXEv8h50nyz05lmw==" workbookSaltValue="CLIrII1gCwBTFr1bZ2OMxA==" workbookSpinCount="100000" lockStructure="1"/>
  <bookViews>
    <workbookView xWindow="0" yWindow="0" windowWidth="15360" windowHeight="8385" firstSheet="4" activeTab="4"/>
  </bookViews>
  <sheets>
    <sheet name="datablad" sheetId="1" state="hidden" r:id="rId1"/>
    <sheet name="rekenblad" sheetId="4" state="hidden" r:id="rId2"/>
    <sheet name="T_datablad" sheetId="5" state="hidden" r:id="rId3"/>
    <sheet name="selectieblad" sheetId="2" state="hidden" r:id="rId4"/>
    <sheet name="Energy_label" sheetId="3" r:id="rId5"/>
    <sheet name="Blad1" sheetId="6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C20" i="3"/>
  <c r="G17" i="3" l="1"/>
  <c r="Z46" i="4" l="1"/>
  <c r="X42" i="4"/>
  <c r="T32" i="4"/>
  <c r="X46" i="4" l="1"/>
  <c r="X47" i="4" s="1"/>
  <c r="X44" i="4" l="1"/>
  <c r="H11" i="6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Q5" i="4" l="1"/>
  <c r="O5" i="4"/>
  <c r="N3" i="4" l="1"/>
  <c r="N2" i="4"/>
  <c r="C2" i="4" s="1"/>
  <c r="J3" i="4" l="1"/>
  <c r="C3" i="4"/>
  <c r="L3" i="4"/>
  <c r="D3" i="4"/>
  <c r="E3" i="4"/>
  <c r="F3" i="4"/>
  <c r="K3" i="4"/>
  <c r="G3" i="4"/>
  <c r="I3" i="4"/>
  <c r="H3" i="4"/>
  <c r="N17" i="3"/>
  <c r="AB23" i="4" s="1"/>
  <c r="AB25" i="4" s="1"/>
  <c r="AB27" i="4" l="1"/>
  <c r="AB29" i="4"/>
  <c r="O26" i="4"/>
  <c r="Q48" i="4"/>
  <c r="I17" i="3"/>
  <c r="Q17" i="3"/>
  <c r="G2" i="4"/>
  <c r="H2" i="4"/>
  <c r="J2" i="4"/>
  <c r="I2" i="4"/>
  <c r="K2" i="4"/>
  <c r="D2" i="4"/>
  <c r="L2" i="4"/>
  <c r="E2" i="4"/>
  <c r="F2" i="4"/>
  <c r="N6" i="3"/>
  <c r="L17" i="3" l="1"/>
  <c r="Q49" i="4"/>
  <c r="Q47" i="4"/>
  <c r="Q142" i="4"/>
  <c r="X37" i="4"/>
  <c r="X33" i="4"/>
  <c r="X35" i="4"/>
  <c r="O16" i="4"/>
  <c r="Q12" i="4"/>
  <c r="P26" i="4"/>
  <c r="P39" i="4"/>
  <c r="P67" i="4"/>
  <c r="P92" i="4"/>
  <c r="P116" i="4"/>
  <c r="P140" i="4"/>
  <c r="P51" i="4"/>
  <c r="P75" i="4"/>
  <c r="Q100" i="4"/>
  <c r="O130" i="4"/>
  <c r="Q13" i="4"/>
  <c r="Q37" i="4"/>
  <c r="Q62" i="4"/>
  <c r="Q90" i="4"/>
  <c r="Q114" i="4"/>
  <c r="Q138" i="4"/>
  <c r="Q101" i="4"/>
  <c r="Q128" i="4"/>
  <c r="O73" i="4"/>
  <c r="Q143" i="4"/>
  <c r="P52" i="4"/>
  <c r="P76" i="4"/>
  <c r="Q19" i="4"/>
  <c r="P71" i="4"/>
  <c r="Q96" i="4"/>
  <c r="Q120" i="4"/>
  <c r="O57" i="4"/>
  <c r="O14" i="4"/>
  <c r="P50" i="4"/>
  <c r="P74" i="4"/>
  <c r="Q99" i="4"/>
  <c r="Q123" i="4"/>
  <c r="P70" i="4"/>
  <c r="P130" i="4"/>
  <c r="Q6" i="4"/>
  <c r="Q9" i="4"/>
  <c r="P36" i="4"/>
  <c r="P61" i="4"/>
  <c r="P89" i="4"/>
  <c r="P113" i="4"/>
  <c r="P137" i="4"/>
  <c r="Q10" i="4"/>
  <c r="O42" i="4"/>
  <c r="Q69" i="4"/>
  <c r="O95" i="4"/>
  <c r="O119" i="4"/>
  <c r="O143" i="4"/>
  <c r="O29" i="4"/>
  <c r="O54" i="4"/>
  <c r="O78" i="4"/>
  <c r="P103" i="4"/>
  <c r="Q132" i="4"/>
  <c r="P16" i="4"/>
  <c r="P40" i="4"/>
  <c r="O68" i="4"/>
  <c r="P93" i="4"/>
  <c r="P117" i="4"/>
  <c r="P141" i="4"/>
  <c r="P104" i="4"/>
  <c r="O131" i="4"/>
  <c r="O81" i="4"/>
  <c r="P11" i="4"/>
  <c r="O55" i="4"/>
  <c r="O79" i="4"/>
  <c r="P22" i="4"/>
  <c r="O50" i="4"/>
  <c r="O74" i="4"/>
  <c r="P99" i="4"/>
  <c r="P123" i="4"/>
  <c r="P62" i="4"/>
  <c r="P35" i="4"/>
  <c r="O53" i="4"/>
  <c r="O77" i="4"/>
  <c r="P102" i="4"/>
  <c r="O129" i="4"/>
  <c r="P78" i="4"/>
  <c r="Q135" i="4"/>
  <c r="O12" i="4"/>
  <c r="P12" i="4"/>
  <c r="O39" i="4"/>
  <c r="O67" i="4"/>
  <c r="O92" i="4"/>
  <c r="O116" i="4"/>
  <c r="O140" i="4"/>
  <c r="O8" i="4"/>
  <c r="Q51" i="4"/>
  <c r="P21" i="4"/>
  <c r="P48" i="4"/>
  <c r="P72" i="4"/>
  <c r="Q97" i="4"/>
  <c r="Q121" i="4"/>
  <c r="Q7" i="4"/>
  <c r="Q31" i="4"/>
  <c r="Q56" i="4"/>
  <c r="Q80" i="4"/>
  <c r="P111" i="4"/>
  <c r="P135" i="4"/>
  <c r="O19" i="4"/>
  <c r="O47" i="4"/>
  <c r="Q70" i="4"/>
  <c r="O96" i="4"/>
  <c r="O120" i="4"/>
  <c r="O144" i="4"/>
  <c r="Q109" i="4"/>
  <c r="Q133" i="4"/>
  <c r="O93" i="4"/>
  <c r="Q16" i="4"/>
  <c r="Q57" i="4"/>
  <c r="Q81" i="4"/>
  <c r="Q27" i="4"/>
  <c r="Q52" i="4"/>
  <c r="Q76" i="4"/>
  <c r="O102" i="4"/>
  <c r="P131" i="4"/>
  <c r="Q75" i="4"/>
  <c r="P9" i="4"/>
  <c r="Q55" i="4"/>
  <c r="Q79" i="4"/>
  <c r="O108" i="4"/>
  <c r="Q131" i="4"/>
  <c r="P90" i="4"/>
  <c r="P138" i="4"/>
  <c r="Q14" i="4"/>
  <c r="O15" i="4"/>
  <c r="Q41" i="4"/>
  <c r="P69" i="4"/>
  <c r="Q94" i="4"/>
  <c r="Q118" i="4"/>
  <c r="O40" i="4"/>
  <c r="Q26" i="4"/>
  <c r="O51" i="4"/>
  <c r="O75" i="4"/>
  <c r="P100" i="4"/>
  <c r="P124" i="4"/>
  <c r="P10" i="4"/>
  <c r="P34" i="4"/>
  <c r="P59" i="4"/>
  <c r="P83" i="4"/>
  <c r="O114" i="4"/>
  <c r="O138" i="4"/>
  <c r="Q21" i="4"/>
  <c r="P49" i="4"/>
  <c r="P73" i="4"/>
  <c r="Q98" i="4"/>
  <c r="Q122" i="4"/>
  <c r="P88" i="4"/>
  <c r="P112" i="4"/>
  <c r="P136" i="4"/>
  <c r="O101" i="4"/>
  <c r="O22" i="4"/>
  <c r="P60" i="4"/>
  <c r="P6" i="4"/>
  <c r="P30" i="4"/>
  <c r="P55" i="4"/>
  <c r="P79" i="4"/>
  <c r="Q104" i="4"/>
  <c r="O134" i="4"/>
  <c r="Q83" i="4"/>
  <c r="P17" i="4"/>
  <c r="P58" i="4"/>
  <c r="P82" i="4"/>
  <c r="P110" i="4"/>
  <c r="P134" i="4"/>
  <c r="P98" i="4"/>
  <c r="Q8" i="4"/>
  <c r="O20" i="4"/>
  <c r="Q17" i="4"/>
  <c r="O48" i="4"/>
  <c r="O72" i="4"/>
  <c r="P97" i="4"/>
  <c r="P121" i="4"/>
  <c r="Q53" i="4"/>
  <c r="O103" i="4"/>
  <c r="O13" i="4"/>
  <c r="O37" i="4"/>
  <c r="O62" i="4"/>
  <c r="O90" i="4"/>
  <c r="Q116" i="4"/>
  <c r="Q140" i="4"/>
  <c r="O27" i="4"/>
  <c r="O52" i="4"/>
  <c r="O76" i="4"/>
  <c r="P101" i="4"/>
  <c r="P128" i="4"/>
  <c r="O91" i="4"/>
  <c r="O115" i="4"/>
  <c r="O139" i="4"/>
  <c r="Q111" i="4"/>
  <c r="O30" i="4"/>
  <c r="O63" i="4"/>
  <c r="O9" i="4"/>
  <c r="O33" i="4"/>
  <c r="O58" i="4"/>
  <c r="O82" i="4"/>
  <c r="O110" i="4"/>
  <c r="Q136" i="4"/>
  <c r="Q95" i="4"/>
  <c r="Q30" i="4"/>
  <c r="O61" i="4"/>
  <c r="O89" i="4"/>
  <c r="O113" i="4"/>
  <c r="O137" i="4"/>
  <c r="Q103" i="4"/>
  <c r="P19" i="4"/>
  <c r="Q22" i="4"/>
  <c r="P20" i="4"/>
  <c r="Q50" i="4"/>
  <c r="Q74" i="4"/>
  <c r="O100" i="4"/>
  <c r="O124" i="4"/>
  <c r="Q28" i="4"/>
  <c r="O32" i="4"/>
  <c r="Q77" i="4"/>
  <c r="Q18" i="4"/>
  <c r="P7" i="4"/>
  <c r="P31" i="4"/>
  <c r="P56" i="4"/>
  <c r="P80" i="4"/>
  <c r="Q108" i="4"/>
  <c r="P132" i="4"/>
  <c r="Q15" i="4"/>
  <c r="Q39" i="4"/>
  <c r="Q67" i="4"/>
  <c r="Q92" i="4"/>
  <c r="P119" i="4"/>
  <c r="P143" i="4"/>
  <c r="Q29" i="4"/>
  <c r="Q54" i="4"/>
  <c r="Q78" i="4"/>
  <c r="O104" i="4"/>
  <c r="Q130" i="4"/>
  <c r="Q93" i="4"/>
  <c r="Q117" i="4"/>
  <c r="Q141" i="4"/>
  <c r="Q119" i="4"/>
  <c r="O38" i="4"/>
  <c r="P68" i="4"/>
  <c r="Q11" i="4"/>
  <c r="Q35" i="4"/>
  <c r="Q60" i="4"/>
  <c r="Q88" i="4"/>
  <c r="Q112" i="4"/>
  <c r="P139" i="4"/>
  <c r="O109" i="4"/>
  <c r="O36" i="4"/>
  <c r="Q63" i="4"/>
  <c r="Q91" i="4"/>
  <c r="Q115" i="4"/>
  <c r="Q139" i="4"/>
  <c r="P114" i="4"/>
  <c r="P27" i="4"/>
  <c r="O28" i="4"/>
  <c r="P28" i="4"/>
  <c r="P53" i="4"/>
  <c r="P77" i="4"/>
  <c r="Q102" i="4"/>
  <c r="P129" i="4"/>
  <c r="Q34" i="4"/>
  <c r="O49" i="4"/>
  <c r="Q129" i="4"/>
  <c r="P37" i="4"/>
  <c r="Q20" i="4"/>
  <c r="O18" i="4"/>
  <c r="O34" i="4"/>
  <c r="O59" i="4"/>
  <c r="O83" i="4"/>
  <c r="O111" i="4"/>
  <c r="O135" i="4"/>
  <c r="P18" i="4"/>
  <c r="P42" i="4"/>
  <c r="O70" i="4"/>
  <c r="P95" i="4"/>
  <c r="O122" i="4"/>
  <c r="P8" i="4"/>
  <c r="P32" i="4"/>
  <c r="P57" i="4"/>
  <c r="P81" i="4"/>
  <c r="P109" i="4"/>
  <c r="P133" i="4"/>
  <c r="P96" i="4"/>
  <c r="P120" i="4"/>
  <c r="P144" i="4"/>
  <c r="O128" i="4"/>
  <c r="P47" i="4"/>
  <c r="O71" i="4"/>
  <c r="P14" i="4"/>
  <c r="P38" i="4"/>
  <c r="P63" i="4"/>
  <c r="P91" i="4"/>
  <c r="P115" i="4"/>
  <c r="O142" i="4"/>
  <c r="O141" i="4"/>
  <c r="Q38" i="4"/>
  <c r="O69" i="4"/>
  <c r="P94" i="4"/>
  <c r="P118" i="4"/>
  <c r="P142" i="4"/>
  <c r="O117" i="4"/>
  <c r="Q32" i="4"/>
  <c r="P33" i="4"/>
  <c r="O31" i="4"/>
  <c r="O56" i="4"/>
  <c r="O80" i="4"/>
  <c r="P108" i="4"/>
  <c r="O132" i="4"/>
  <c r="P29" i="4"/>
  <c r="P15" i="4"/>
  <c r="P13" i="4"/>
  <c r="Q42" i="4"/>
  <c r="O10" i="4"/>
  <c r="Q36" i="4"/>
  <c r="Q61" i="4"/>
  <c r="Q89" i="4"/>
  <c r="Q113" i="4"/>
  <c r="Q137" i="4"/>
  <c r="O21" i="4"/>
  <c r="Q72" i="4"/>
  <c r="O98" i="4"/>
  <c r="Q124" i="4"/>
  <c r="O11" i="4"/>
  <c r="O35" i="4"/>
  <c r="O60" i="4"/>
  <c r="O88" i="4"/>
  <c r="O112" i="4"/>
  <c r="O136" i="4"/>
  <c r="O99" i="4"/>
  <c r="O123" i="4"/>
  <c r="P54" i="4"/>
  <c r="O133" i="4"/>
  <c r="Q73" i="4"/>
  <c r="O17" i="4"/>
  <c r="O41" i="4"/>
  <c r="Q68" i="4"/>
  <c r="O94" i="4"/>
  <c r="O118" i="4"/>
  <c r="Q144" i="4"/>
  <c r="O6" i="4"/>
  <c r="P41" i="4"/>
  <c r="Q71" i="4"/>
  <c r="O97" i="4"/>
  <c r="O121" i="4"/>
  <c r="Q59" i="4"/>
  <c r="P122" i="4"/>
  <c r="Q40" i="4"/>
  <c r="O7" i="4"/>
  <c r="Q33" i="4"/>
  <c r="Q58" i="4"/>
  <c r="Q82" i="4"/>
  <c r="Q110" i="4"/>
  <c r="Q134" i="4"/>
  <c r="R22" i="4" l="1"/>
  <c r="R26" i="4" s="1"/>
  <c r="R6" i="4"/>
  <c r="R136" i="4"/>
  <c r="Z37" i="4"/>
  <c r="R141" i="4"/>
  <c r="R135" i="4"/>
  <c r="R132" i="4"/>
  <c r="R134" i="4"/>
  <c r="R140" i="4"/>
  <c r="R131" i="4"/>
  <c r="R138" i="4"/>
  <c r="R129" i="4"/>
  <c r="R142" i="4"/>
  <c r="R128" i="4"/>
  <c r="R124" i="4" s="1"/>
  <c r="R123" i="4" s="1"/>
  <c r="R122" i="4" s="1"/>
  <c r="R121" i="4" s="1"/>
  <c r="R120" i="4" s="1"/>
  <c r="R119" i="4" s="1"/>
  <c r="R118" i="4" s="1"/>
  <c r="R117" i="4" s="1"/>
  <c r="R116" i="4" s="1"/>
  <c r="R115" i="4" s="1"/>
  <c r="R114" i="4" s="1"/>
  <c r="R113" i="4" s="1"/>
  <c r="R112" i="4" s="1"/>
  <c r="R111" i="4" s="1"/>
  <c r="R110" i="4" s="1"/>
  <c r="R109" i="4" s="1"/>
  <c r="R108" i="4" s="1"/>
  <c r="R104" i="4" s="1"/>
  <c r="R103" i="4" s="1"/>
  <c r="R102" i="4" s="1"/>
  <c r="R101" i="4" s="1"/>
  <c r="R100" i="4" s="1"/>
  <c r="R99" i="4" s="1"/>
  <c r="R98" i="4" s="1"/>
  <c r="R97" i="4" s="1"/>
  <c r="R96" i="4" s="1"/>
  <c r="R95" i="4" s="1"/>
  <c r="R94" i="4" s="1"/>
  <c r="R93" i="4" s="1"/>
  <c r="R92" i="4" s="1"/>
  <c r="R91" i="4" s="1"/>
  <c r="R90" i="4" s="1"/>
  <c r="R89" i="4" s="1"/>
  <c r="R88" i="4" s="1"/>
  <c r="R139" i="4"/>
  <c r="R130" i="4"/>
  <c r="R133" i="4"/>
  <c r="R137" i="4"/>
  <c r="R144" i="4"/>
  <c r="R143" i="4"/>
  <c r="M4" i="4"/>
  <c r="C4" i="4" s="1"/>
  <c r="K17" i="3"/>
  <c r="R21" i="4"/>
  <c r="R12" i="4"/>
  <c r="R11" i="4"/>
  <c r="R10" i="4"/>
  <c r="R17" i="4"/>
  <c r="Y37" i="4"/>
  <c r="R9" i="4"/>
  <c r="R7" i="4"/>
  <c r="R13" i="4"/>
  <c r="R20" i="4"/>
  <c r="R18" i="4"/>
  <c r="R8" i="4"/>
  <c r="R15" i="4"/>
  <c r="R16" i="4"/>
  <c r="R19" i="4"/>
  <c r="R14" i="4"/>
  <c r="R42" i="4" l="1"/>
  <c r="R67" i="4"/>
  <c r="R63" i="4" s="1"/>
  <c r="R62" i="4" s="1"/>
  <c r="R61" i="4" s="1"/>
  <c r="R60" i="4" s="1"/>
  <c r="R59" i="4" s="1"/>
  <c r="R58" i="4" s="1"/>
  <c r="R57" i="4" s="1"/>
  <c r="R56" i="4" s="1"/>
  <c r="R55" i="4" s="1"/>
  <c r="R54" i="4" s="1"/>
  <c r="R53" i="4" s="1"/>
  <c r="R52" i="4" s="1"/>
  <c r="R51" i="4" s="1"/>
  <c r="R50" i="4" s="1"/>
  <c r="R49" i="4" s="1"/>
  <c r="R48" i="4" s="1"/>
  <c r="R47" i="4" s="1"/>
  <c r="C5" i="4"/>
  <c r="V46" i="4" s="1"/>
  <c r="V55" i="4" s="1"/>
  <c r="R83" i="4"/>
  <c r="R75" i="4"/>
  <c r="R74" i="4"/>
  <c r="R82" i="4"/>
  <c r="R81" i="4"/>
  <c r="R73" i="4"/>
  <c r="R80" i="4"/>
  <c r="R72" i="4"/>
  <c r="R78" i="4"/>
  <c r="R79" i="4"/>
  <c r="R71" i="4"/>
  <c r="R70" i="4"/>
  <c r="R68" i="4"/>
  <c r="R76" i="4"/>
  <c r="R77" i="4"/>
  <c r="R69" i="4"/>
  <c r="R35" i="4"/>
  <c r="R39" i="4"/>
  <c r="R37" i="4"/>
  <c r="R41" i="4"/>
  <c r="R36" i="4"/>
  <c r="R31" i="4"/>
  <c r="R32" i="4"/>
  <c r="R40" i="4"/>
  <c r="R29" i="4"/>
  <c r="R27" i="4"/>
  <c r="R38" i="4"/>
  <c r="R34" i="4"/>
  <c r="R30" i="4"/>
  <c r="R28" i="4"/>
  <c r="R33" i="4"/>
  <c r="H4" i="4"/>
  <c r="F4" i="4"/>
  <c r="I4" i="4"/>
  <c r="J4" i="4"/>
  <c r="E4" i="4"/>
  <c r="K4" i="4"/>
  <c r="D4" i="4"/>
  <c r="G4" i="4"/>
  <c r="L4" i="4"/>
  <c r="C7" i="4" l="1"/>
  <c r="V48" i="4"/>
  <c r="V47" i="4"/>
  <c r="C16" i="4"/>
  <c r="C13" i="4"/>
  <c r="C12" i="4"/>
  <c r="C10" i="4"/>
  <c r="C14" i="4"/>
  <c r="D5" i="4"/>
  <c r="D18" i="4" s="1"/>
  <c r="C20" i="4"/>
  <c r="C18" i="4"/>
  <c r="C9" i="4"/>
  <c r="C22" i="4"/>
  <c r="C17" i="4"/>
  <c r="C11" i="4"/>
  <c r="C21" i="4"/>
  <c r="C15" i="4"/>
  <c r="C8" i="4"/>
  <c r="C6" i="4"/>
  <c r="C19" i="4"/>
  <c r="D19" i="4" l="1"/>
  <c r="D22" i="4"/>
  <c r="D8" i="4"/>
  <c r="E5" i="4"/>
  <c r="F5" i="4" s="1"/>
  <c r="G5" i="4" s="1"/>
  <c r="G17" i="4" s="1"/>
  <c r="D16" i="4"/>
  <c r="D13" i="4"/>
  <c r="D11" i="4"/>
  <c r="D21" i="4"/>
  <c r="V56" i="4"/>
  <c r="V65" i="4"/>
  <c r="V74" i="4"/>
  <c r="V57" i="4"/>
  <c r="V54" i="4" s="1"/>
  <c r="M45" i="4" s="1"/>
  <c r="V66" i="4"/>
  <c r="V75" i="4"/>
  <c r="D15" i="4"/>
  <c r="D17" i="4"/>
  <c r="D12" i="4"/>
  <c r="D7" i="4"/>
  <c r="D20" i="4"/>
  <c r="D6" i="4"/>
  <c r="D10" i="4"/>
  <c r="D9" i="4"/>
  <c r="D14" i="4"/>
  <c r="V64" i="4"/>
  <c r="V73" i="4"/>
  <c r="V72" i="4" l="1"/>
  <c r="V63" i="4"/>
  <c r="M86" i="4" s="1"/>
  <c r="E12" i="4"/>
  <c r="G15" i="4"/>
  <c r="E15" i="4"/>
  <c r="H5" i="4"/>
  <c r="I5" i="4" s="1"/>
  <c r="I18" i="4" s="1"/>
  <c r="E19" i="4"/>
  <c r="E22" i="4"/>
  <c r="F19" i="4"/>
  <c r="E16" i="4"/>
  <c r="F12" i="4"/>
  <c r="E10" i="4"/>
  <c r="F8" i="4"/>
  <c r="F11" i="4"/>
  <c r="E7" i="4"/>
  <c r="F14" i="4"/>
  <c r="F6" i="4"/>
  <c r="E14" i="4"/>
  <c r="G11" i="4"/>
  <c r="F16" i="4"/>
  <c r="G16" i="4"/>
  <c r="G8" i="4"/>
  <c r="F9" i="4"/>
  <c r="F20" i="4"/>
  <c r="E21" i="4"/>
  <c r="G18" i="4"/>
  <c r="G10" i="4"/>
  <c r="G13" i="4"/>
  <c r="E6" i="4"/>
  <c r="G20" i="4"/>
  <c r="E13" i="4"/>
  <c r="E8" i="4"/>
  <c r="G14" i="4"/>
  <c r="E11" i="4"/>
  <c r="F18" i="4"/>
  <c r="F15" i="4"/>
  <c r="G9" i="4"/>
  <c r="F21" i="4"/>
  <c r="F22" i="4"/>
  <c r="E18" i="4"/>
  <c r="G19" i="4"/>
  <c r="F7" i="4"/>
  <c r="E17" i="4"/>
  <c r="G12" i="4"/>
  <c r="G21" i="4"/>
  <c r="F13" i="4"/>
  <c r="G7" i="4"/>
  <c r="G22" i="4"/>
  <c r="F17" i="4"/>
  <c r="E9" i="4"/>
  <c r="G6" i="4"/>
  <c r="E20" i="4"/>
  <c r="F10" i="4"/>
  <c r="M106" i="4"/>
  <c r="J106" i="4" s="1"/>
  <c r="J45" i="4"/>
  <c r="H15" i="4" l="1"/>
  <c r="H18" i="4"/>
  <c r="H21" i="4"/>
  <c r="H17" i="4"/>
  <c r="H16" i="4"/>
  <c r="I14" i="4"/>
  <c r="I16" i="4"/>
  <c r="H19" i="4"/>
  <c r="I7" i="4"/>
  <c r="I17" i="4"/>
  <c r="J5" i="4"/>
  <c r="J8" i="4" s="1"/>
  <c r="H7" i="4"/>
  <c r="H13" i="4"/>
  <c r="I9" i="4"/>
  <c r="I13" i="4"/>
  <c r="H20" i="4"/>
  <c r="H14" i="4"/>
  <c r="H9" i="4"/>
  <c r="I6" i="4"/>
  <c r="I22" i="4"/>
  <c r="I15" i="4"/>
  <c r="H11" i="4"/>
  <c r="H12" i="4"/>
  <c r="I19" i="4"/>
  <c r="I8" i="4"/>
  <c r="I10" i="4"/>
  <c r="I20" i="4"/>
  <c r="H6" i="4"/>
  <c r="H8" i="4"/>
  <c r="I11" i="4"/>
  <c r="I12" i="4"/>
  <c r="H10" i="4"/>
  <c r="H22" i="4"/>
  <c r="I21" i="4"/>
  <c r="C45" i="4"/>
  <c r="D45" i="4"/>
  <c r="I45" i="4"/>
  <c r="G45" i="4"/>
  <c r="G57" i="4" s="1"/>
  <c r="L45" i="4"/>
  <c r="F106" i="4"/>
  <c r="C106" i="4"/>
  <c r="G106" i="4"/>
  <c r="F45" i="4"/>
  <c r="F58" i="4" s="1"/>
  <c r="I106" i="4"/>
  <c r="L106" i="4"/>
  <c r="K106" i="4"/>
  <c r="D106" i="4"/>
  <c r="E106" i="4"/>
  <c r="H106" i="4"/>
  <c r="H45" i="4"/>
  <c r="K45" i="4"/>
  <c r="E45" i="4"/>
  <c r="E48" i="4" s="1"/>
  <c r="J6" i="4" l="1"/>
  <c r="J19" i="4"/>
  <c r="J7" i="4"/>
  <c r="J20" i="4"/>
  <c r="K5" i="4"/>
  <c r="J22" i="4"/>
  <c r="J48" i="4" s="1"/>
  <c r="J21" i="4"/>
  <c r="J17" i="4"/>
  <c r="J9" i="4"/>
  <c r="J10" i="4"/>
  <c r="J18" i="4"/>
  <c r="J16" i="4"/>
  <c r="J14" i="4"/>
  <c r="J13" i="4"/>
  <c r="J11" i="4"/>
  <c r="J15" i="4"/>
  <c r="J12" i="4"/>
  <c r="I61" i="4"/>
  <c r="H54" i="4"/>
  <c r="F62" i="4"/>
  <c r="F49" i="4"/>
  <c r="H63" i="4"/>
  <c r="H49" i="4"/>
  <c r="E57" i="4"/>
  <c r="E60" i="4"/>
  <c r="G52" i="4"/>
  <c r="G61" i="4"/>
  <c r="D60" i="4"/>
  <c r="D58" i="4"/>
  <c r="D49" i="4"/>
  <c r="D48" i="4"/>
  <c r="D54" i="4"/>
  <c r="D63" i="4"/>
  <c r="D50" i="4"/>
  <c r="D59" i="4"/>
  <c r="D52" i="4"/>
  <c r="D55" i="4"/>
  <c r="D56" i="4"/>
  <c r="D53" i="4"/>
  <c r="D51" i="4"/>
  <c r="D61" i="4"/>
  <c r="D47" i="4"/>
  <c r="D57" i="4"/>
  <c r="D62" i="4"/>
  <c r="F53" i="4"/>
  <c r="F51" i="4"/>
  <c r="H50" i="4"/>
  <c r="H53" i="4"/>
  <c r="E61" i="4"/>
  <c r="E47" i="4"/>
  <c r="G56" i="4"/>
  <c r="G63" i="4"/>
  <c r="I55" i="4"/>
  <c r="I52" i="4"/>
  <c r="I51" i="4"/>
  <c r="C60" i="4"/>
  <c r="C55" i="4"/>
  <c r="C57" i="4"/>
  <c r="C50" i="4"/>
  <c r="C56" i="4"/>
  <c r="C51" i="4"/>
  <c r="C59" i="4"/>
  <c r="C52" i="4"/>
  <c r="C47" i="4"/>
  <c r="C48" i="4"/>
  <c r="C61" i="4"/>
  <c r="C63" i="4"/>
  <c r="C53" i="4"/>
  <c r="C62" i="4"/>
  <c r="C49" i="4"/>
  <c r="C58" i="4"/>
  <c r="C54" i="4"/>
  <c r="F57" i="4"/>
  <c r="F55" i="4"/>
  <c r="H58" i="4"/>
  <c r="H57" i="4"/>
  <c r="E49" i="4"/>
  <c r="E51" i="4"/>
  <c r="G60" i="4"/>
  <c r="G48" i="4"/>
  <c r="I59" i="4"/>
  <c r="I56" i="4"/>
  <c r="F59" i="4"/>
  <c r="F61" i="4"/>
  <c r="F63" i="4"/>
  <c r="H48" i="4"/>
  <c r="H61" i="4"/>
  <c r="E50" i="4"/>
  <c r="E55" i="4"/>
  <c r="G55" i="4"/>
  <c r="G50" i="4"/>
  <c r="I63" i="4"/>
  <c r="I60" i="4"/>
  <c r="F48" i="4"/>
  <c r="F47" i="4"/>
  <c r="H47" i="4"/>
  <c r="H52" i="4"/>
  <c r="H62" i="4"/>
  <c r="E54" i="4"/>
  <c r="E59" i="4"/>
  <c r="G59" i="4"/>
  <c r="G54" i="4"/>
  <c r="I50" i="4"/>
  <c r="I49" i="4"/>
  <c r="F52" i="4"/>
  <c r="F50" i="4"/>
  <c r="H51" i="4"/>
  <c r="H56" i="4"/>
  <c r="E52" i="4"/>
  <c r="E58" i="4"/>
  <c r="E63" i="4"/>
  <c r="G49" i="4"/>
  <c r="G58" i="4"/>
  <c r="I54" i="4"/>
  <c r="I53" i="4"/>
  <c r="F56" i="4"/>
  <c r="F54" i="4"/>
  <c r="H55" i="4"/>
  <c r="H60" i="4"/>
  <c r="E56" i="4"/>
  <c r="E62" i="4"/>
  <c r="G47" i="4"/>
  <c r="G53" i="4"/>
  <c r="G62" i="4"/>
  <c r="I58" i="4"/>
  <c r="I57" i="4"/>
  <c r="I48" i="4"/>
  <c r="F60" i="4"/>
  <c r="H59" i="4"/>
  <c r="E53" i="4"/>
  <c r="G51" i="4"/>
  <c r="I47" i="4"/>
  <c r="I62" i="4"/>
  <c r="K19" i="4"/>
  <c r="K6" i="4"/>
  <c r="K8" i="4"/>
  <c r="K15" i="4"/>
  <c r="K21" i="4"/>
  <c r="K11" i="4"/>
  <c r="K17" i="4"/>
  <c r="K18" i="4"/>
  <c r="K10" i="4"/>
  <c r="K7" i="4"/>
  <c r="K13" i="4"/>
  <c r="K22" i="4"/>
  <c r="K9" i="4"/>
  <c r="K20" i="4"/>
  <c r="K12" i="4"/>
  <c r="K14" i="4"/>
  <c r="K16" i="4"/>
  <c r="L5" i="4"/>
  <c r="V45" i="4"/>
  <c r="M24" i="4" s="1"/>
  <c r="J58" i="4" l="1"/>
  <c r="J53" i="4"/>
  <c r="J54" i="4"/>
  <c r="J52" i="4"/>
  <c r="J47" i="4"/>
  <c r="J57" i="4"/>
  <c r="J49" i="4"/>
  <c r="J51" i="4"/>
  <c r="J56" i="4"/>
  <c r="J55" i="4"/>
  <c r="J60" i="4"/>
  <c r="J59" i="4"/>
  <c r="J61" i="4"/>
  <c r="J50" i="4"/>
  <c r="J63" i="4"/>
  <c r="J62" i="4"/>
  <c r="C24" i="4"/>
  <c r="V44" i="4"/>
  <c r="K60" i="4"/>
  <c r="K56" i="4"/>
  <c r="K52" i="4"/>
  <c r="K48" i="4"/>
  <c r="K57" i="4"/>
  <c r="K53" i="4"/>
  <c r="K63" i="4"/>
  <c r="K59" i="4"/>
  <c r="K55" i="4"/>
  <c r="K51" i="4"/>
  <c r="K47" i="4"/>
  <c r="K49" i="4"/>
  <c r="K62" i="4"/>
  <c r="K58" i="4"/>
  <c r="K54" i="4"/>
  <c r="K50" i="4"/>
  <c r="K61" i="4"/>
  <c r="L21" i="4"/>
  <c r="M21" i="4" s="1"/>
  <c r="N21" i="4" s="1"/>
  <c r="L8" i="4"/>
  <c r="M8" i="4" s="1"/>
  <c r="N8" i="4" s="1"/>
  <c r="L17" i="4"/>
  <c r="M17" i="4" s="1"/>
  <c r="N17" i="4" s="1"/>
  <c r="L12" i="4"/>
  <c r="L19" i="4"/>
  <c r="M19" i="4" s="1"/>
  <c r="N19" i="4" s="1"/>
  <c r="L6" i="4"/>
  <c r="M6" i="4" s="1"/>
  <c r="N6" i="4" s="1"/>
  <c r="L11" i="4"/>
  <c r="M11" i="4" s="1"/>
  <c r="N11" i="4" s="1"/>
  <c r="L13" i="4"/>
  <c r="M13" i="4" s="1"/>
  <c r="N13" i="4" s="1"/>
  <c r="L7" i="4"/>
  <c r="M7" i="4" s="1"/>
  <c r="N7" i="4" s="1"/>
  <c r="L22" i="4"/>
  <c r="L9" i="4"/>
  <c r="M9" i="4" s="1"/>
  <c r="N9" i="4" s="1"/>
  <c r="L18" i="4"/>
  <c r="M18" i="4" s="1"/>
  <c r="N18" i="4" s="1"/>
  <c r="L15" i="4"/>
  <c r="M15" i="4" s="1"/>
  <c r="N15" i="4" s="1"/>
  <c r="L14" i="4"/>
  <c r="M14" i="4" s="1"/>
  <c r="N14" i="4" s="1"/>
  <c r="L20" i="4"/>
  <c r="M20" i="4" s="1"/>
  <c r="N20" i="4" s="1"/>
  <c r="L10" i="4"/>
  <c r="M10" i="4" s="1"/>
  <c r="N10" i="4" s="1"/>
  <c r="L16" i="4"/>
  <c r="M16" i="4" s="1"/>
  <c r="N16" i="4" s="1"/>
  <c r="K24" i="4"/>
  <c r="K43" i="4" s="1"/>
  <c r="M65" i="4"/>
  <c r="K126" i="4" s="1"/>
  <c r="M12" i="4"/>
  <c r="N12" i="4" s="1"/>
  <c r="L60" i="4" l="1"/>
  <c r="M60" i="4" s="1"/>
  <c r="L56" i="4"/>
  <c r="M56" i="4" s="1"/>
  <c r="L63" i="4"/>
  <c r="M63" i="4" s="1"/>
  <c r="L59" i="4"/>
  <c r="M59" i="4" s="1"/>
  <c r="L55" i="4"/>
  <c r="M55" i="4" s="1"/>
  <c r="L51" i="4"/>
  <c r="M51" i="4" s="1"/>
  <c r="L47" i="4"/>
  <c r="M47" i="4" s="1"/>
  <c r="L52" i="4"/>
  <c r="M52" i="4" s="1"/>
  <c r="L62" i="4"/>
  <c r="M62" i="4" s="1"/>
  <c r="L58" i="4"/>
  <c r="M58" i="4" s="1"/>
  <c r="L54" i="4"/>
  <c r="M54" i="4" s="1"/>
  <c r="L50" i="4"/>
  <c r="M50" i="4" s="1"/>
  <c r="L61" i="4"/>
  <c r="M61" i="4" s="1"/>
  <c r="L57" i="4"/>
  <c r="M57" i="4" s="1"/>
  <c r="L53" i="4"/>
  <c r="M53" i="4" s="1"/>
  <c r="L49" i="4"/>
  <c r="M49" i="4" s="1"/>
  <c r="L48" i="4"/>
  <c r="M48" i="4" s="1"/>
  <c r="C43" i="4"/>
  <c r="L24" i="4"/>
  <c r="L43" i="4" s="1"/>
  <c r="E24" i="4"/>
  <c r="E43" i="4" s="1"/>
  <c r="F24" i="4"/>
  <c r="F28" i="4" s="1"/>
  <c r="G126" i="4"/>
  <c r="J126" i="4"/>
  <c r="D65" i="4"/>
  <c r="I126" i="4"/>
  <c r="C65" i="4"/>
  <c r="H65" i="4"/>
  <c r="E126" i="4"/>
  <c r="D24" i="4"/>
  <c r="H24" i="4"/>
  <c r="H43" i="4" s="1"/>
  <c r="E65" i="4"/>
  <c r="K65" i="4"/>
  <c r="I24" i="4"/>
  <c r="G24" i="4"/>
  <c r="F126" i="4"/>
  <c r="G65" i="4"/>
  <c r="J24" i="4"/>
  <c r="L65" i="4"/>
  <c r="H126" i="4"/>
  <c r="J65" i="4"/>
  <c r="D126" i="4"/>
  <c r="I65" i="4"/>
  <c r="C126" i="4"/>
  <c r="F65" i="4"/>
  <c r="L126" i="4"/>
  <c r="K41" i="4"/>
  <c r="K37" i="4"/>
  <c r="K33" i="4"/>
  <c r="K29" i="4"/>
  <c r="K40" i="4"/>
  <c r="K36" i="4"/>
  <c r="K32" i="4"/>
  <c r="K28" i="4"/>
  <c r="K39" i="4"/>
  <c r="K35" i="4"/>
  <c r="K31" i="4"/>
  <c r="K27" i="4"/>
  <c r="K42" i="4"/>
  <c r="K38" i="4"/>
  <c r="K34" i="4"/>
  <c r="K30" i="4"/>
  <c r="K26" i="4"/>
  <c r="C33" i="4"/>
  <c r="C29" i="4"/>
  <c r="C36" i="4"/>
  <c r="C32" i="4"/>
  <c r="C31" i="4"/>
  <c r="C27" i="4"/>
  <c r="C38" i="4"/>
  <c r="C34" i="4"/>
  <c r="V62" i="4"/>
  <c r="V53" i="4"/>
  <c r="M22" i="4"/>
  <c r="N22" i="4" s="1"/>
  <c r="L38" i="4" l="1"/>
  <c r="L32" i="4"/>
  <c r="E28" i="4"/>
  <c r="L29" i="4"/>
  <c r="L27" i="4"/>
  <c r="E31" i="4"/>
  <c r="E37" i="4"/>
  <c r="H27" i="4"/>
  <c r="E40" i="4"/>
  <c r="E29" i="4"/>
  <c r="E30" i="4"/>
  <c r="E42" i="4"/>
  <c r="H29" i="4"/>
  <c r="L33" i="4"/>
  <c r="L37" i="4"/>
  <c r="L40" i="4"/>
  <c r="C35" i="4"/>
  <c r="C37" i="4"/>
  <c r="L26" i="4"/>
  <c r="C26" i="4"/>
  <c r="C39" i="4"/>
  <c r="C41" i="4"/>
  <c r="L41" i="4"/>
  <c r="L36" i="4"/>
  <c r="L31" i="4"/>
  <c r="L30" i="4"/>
  <c r="L35" i="4"/>
  <c r="C30" i="4"/>
  <c r="C28" i="4"/>
  <c r="L34" i="4"/>
  <c r="L39" i="4"/>
  <c r="L42" i="4"/>
  <c r="L28" i="4"/>
  <c r="C42" i="4"/>
  <c r="C40" i="4"/>
  <c r="H37" i="4"/>
  <c r="H31" i="4"/>
  <c r="H28" i="4"/>
  <c r="H32" i="4"/>
  <c r="F39" i="4"/>
  <c r="F31" i="4"/>
  <c r="F32" i="4"/>
  <c r="F36" i="4"/>
  <c r="F29" i="4"/>
  <c r="F40" i="4"/>
  <c r="F33" i="4"/>
  <c r="F41" i="4"/>
  <c r="F35" i="4"/>
  <c r="F37" i="4"/>
  <c r="E33" i="4"/>
  <c r="E27" i="4"/>
  <c r="E41" i="4"/>
  <c r="E35" i="4"/>
  <c r="E26" i="4"/>
  <c r="E39" i="4"/>
  <c r="E34" i="4"/>
  <c r="E32" i="4"/>
  <c r="E38" i="4"/>
  <c r="E36" i="4"/>
  <c r="F30" i="4"/>
  <c r="F34" i="4"/>
  <c r="F38" i="4"/>
  <c r="F26" i="4"/>
  <c r="F42" i="4"/>
  <c r="H35" i="4"/>
  <c r="H41" i="4"/>
  <c r="H26" i="4"/>
  <c r="H36" i="4"/>
  <c r="H30" i="4"/>
  <c r="H40" i="4"/>
  <c r="H34" i="4"/>
  <c r="H39" i="4"/>
  <c r="H38" i="4"/>
  <c r="H33" i="4"/>
  <c r="H42" i="4"/>
  <c r="I41" i="4"/>
  <c r="I43" i="4"/>
  <c r="J41" i="4"/>
  <c r="J43" i="4"/>
  <c r="D31" i="4"/>
  <c r="D43" i="4"/>
  <c r="F27" i="4"/>
  <c r="F43" i="4"/>
  <c r="G39" i="4"/>
  <c r="G43" i="4"/>
  <c r="D34" i="4"/>
  <c r="D35" i="4"/>
  <c r="I28" i="4"/>
  <c r="I26" i="4"/>
  <c r="I32" i="4"/>
  <c r="I30" i="4"/>
  <c r="I36" i="4"/>
  <c r="I34" i="4"/>
  <c r="I40" i="4"/>
  <c r="I38" i="4"/>
  <c r="I42" i="4"/>
  <c r="I29" i="4"/>
  <c r="I31" i="4"/>
  <c r="I33" i="4"/>
  <c r="I27" i="4"/>
  <c r="I35" i="4"/>
  <c r="I37" i="4"/>
  <c r="I39" i="4"/>
  <c r="G28" i="4"/>
  <c r="G37" i="4"/>
  <c r="G26" i="4"/>
  <c r="G27" i="4"/>
  <c r="G31" i="4"/>
  <c r="D38" i="4"/>
  <c r="D32" i="4"/>
  <c r="D42" i="4"/>
  <c r="D36" i="4"/>
  <c r="J38" i="4"/>
  <c r="D26" i="4"/>
  <c r="D40" i="4"/>
  <c r="D27" i="4"/>
  <c r="D33" i="4"/>
  <c r="D29" i="4"/>
  <c r="D39" i="4"/>
  <c r="D28" i="4"/>
  <c r="H86" i="4"/>
  <c r="D86" i="4"/>
  <c r="G86" i="4"/>
  <c r="L86" i="4"/>
  <c r="I86" i="4"/>
  <c r="F86" i="4"/>
  <c r="C86" i="4"/>
  <c r="C102" i="4" s="1"/>
  <c r="J86" i="4"/>
  <c r="E86" i="4"/>
  <c r="K86" i="4"/>
  <c r="D41" i="4"/>
  <c r="D37" i="4"/>
  <c r="D30" i="4"/>
  <c r="J42" i="4"/>
  <c r="J26" i="4"/>
  <c r="J36" i="4"/>
  <c r="J29" i="4"/>
  <c r="J30" i="4"/>
  <c r="J28" i="4"/>
  <c r="G41" i="4"/>
  <c r="G35" i="4"/>
  <c r="J31" i="4"/>
  <c r="J40" i="4"/>
  <c r="G32" i="4"/>
  <c r="G30" i="4"/>
  <c r="J35" i="4"/>
  <c r="J32" i="4"/>
  <c r="G36" i="4"/>
  <c r="G34" i="4"/>
  <c r="J39" i="4"/>
  <c r="J33" i="4"/>
  <c r="G40" i="4"/>
  <c r="G38" i="4"/>
  <c r="J34" i="4"/>
  <c r="J37" i="4"/>
  <c r="G29" i="4"/>
  <c r="G42" i="4"/>
  <c r="J27" i="4"/>
  <c r="G33" i="4"/>
  <c r="M43" i="4" l="1"/>
  <c r="C103" i="4"/>
  <c r="C89" i="4"/>
  <c r="C91" i="4"/>
  <c r="C93" i="4"/>
  <c r="C99" i="4"/>
  <c r="C97" i="4"/>
  <c r="C88" i="4"/>
  <c r="C101" i="4"/>
  <c r="C92" i="4"/>
  <c r="C90" i="4"/>
  <c r="C96" i="4"/>
  <c r="C94" i="4"/>
  <c r="C100" i="4"/>
  <c r="C98" i="4"/>
  <c r="C95" i="4"/>
  <c r="C104" i="4"/>
  <c r="K102" i="4"/>
  <c r="K98" i="4"/>
  <c r="K94" i="4"/>
  <c r="K90" i="4"/>
  <c r="K101" i="4"/>
  <c r="K97" i="4"/>
  <c r="K93" i="4"/>
  <c r="K89" i="4"/>
  <c r="K104" i="4"/>
  <c r="K100" i="4"/>
  <c r="K96" i="4"/>
  <c r="K92" i="4"/>
  <c r="K88" i="4"/>
  <c r="K99" i="4"/>
  <c r="K91" i="4"/>
  <c r="K103" i="4"/>
  <c r="K95" i="4"/>
  <c r="C82" i="4"/>
  <c r="C78" i="4"/>
  <c r="C74" i="4"/>
  <c r="C70" i="4"/>
  <c r="C81" i="4"/>
  <c r="C77" i="4"/>
  <c r="C73" i="4"/>
  <c r="C69" i="4"/>
  <c r="C80" i="4"/>
  <c r="C76" i="4"/>
  <c r="C72" i="4"/>
  <c r="C68" i="4"/>
  <c r="C83" i="4"/>
  <c r="C75" i="4"/>
  <c r="C67" i="4"/>
  <c r="C79" i="4"/>
  <c r="C71" i="4"/>
  <c r="I103" i="4"/>
  <c r="I99" i="4"/>
  <c r="I95" i="4"/>
  <c r="I91" i="4"/>
  <c r="I102" i="4"/>
  <c r="I98" i="4"/>
  <c r="I94" i="4"/>
  <c r="I90" i="4"/>
  <c r="I101" i="4"/>
  <c r="I97" i="4"/>
  <c r="I93" i="4"/>
  <c r="I89" i="4"/>
  <c r="I92" i="4"/>
  <c r="I104" i="4"/>
  <c r="I96" i="4"/>
  <c r="I88" i="4"/>
  <c r="I100" i="4"/>
  <c r="J103" i="4"/>
  <c r="J99" i="4"/>
  <c r="J95" i="4"/>
  <c r="J91" i="4"/>
  <c r="J102" i="4"/>
  <c r="J98" i="4"/>
  <c r="J94" i="4"/>
  <c r="J90" i="4"/>
  <c r="J101" i="4"/>
  <c r="J97" i="4"/>
  <c r="J93" i="4"/>
  <c r="J89" i="4"/>
  <c r="J104" i="4"/>
  <c r="J100" i="4"/>
  <c r="J96" i="4"/>
  <c r="J92" i="4"/>
  <c r="J88" i="4"/>
  <c r="H104" i="4"/>
  <c r="H119" i="4" s="1"/>
  <c r="H100" i="4"/>
  <c r="H96" i="4"/>
  <c r="H92" i="4"/>
  <c r="H88" i="4"/>
  <c r="H103" i="4"/>
  <c r="H99" i="4"/>
  <c r="H95" i="4"/>
  <c r="H91" i="4"/>
  <c r="H102" i="4"/>
  <c r="H98" i="4"/>
  <c r="H94" i="4"/>
  <c r="H90" i="4"/>
  <c r="H101" i="4"/>
  <c r="H97" i="4"/>
  <c r="H93" i="4"/>
  <c r="H89" i="4"/>
  <c r="L102" i="4"/>
  <c r="L98" i="4"/>
  <c r="L94" i="4"/>
  <c r="L90" i="4"/>
  <c r="L101" i="4"/>
  <c r="L97" i="4"/>
  <c r="L93" i="4"/>
  <c r="L89" i="4"/>
  <c r="L104" i="4"/>
  <c r="L100" i="4"/>
  <c r="L96" i="4"/>
  <c r="L92" i="4"/>
  <c r="L88" i="4"/>
  <c r="L103" i="4"/>
  <c r="L99" i="4"/>
  <c r="L95" i="4"/>
  <c r="L91" i="4"/>
  <c r="D102" i="4"/>
  <c r="D98" i="4"/>
  <c r="D94" i="4"/>
  <c r="D90" i="4"/>
  <c r="D101" i="4"/>
  <c r="D97" i="4"/>
  <c r="D93" i="4"/>
  <c r="D89" i="4"/>
  <c r="D104" i="4"/>
  <c r="D100" i="4"/>
  <c r="D96" i="4"/>
  <c r="D92" i="4"/>
  <c r="D88" i="4"/>
  <c r="D103" i="4"/>
  <c r="D99" i="4"/>
  <c r="D95" i="4"/>
  <c r="D91" i="4"/>
  <c r="E81" i="4"/>
  <c r="E77" i="4"/>
  <c r="E73" i="4"/>
  <c r="E69" i="4"/>
  <c r="E80" i="4"/>
  <c r="E76" i="4"/>
  <c r="E72" i="4"/>
  <c r="E68" i="4"/>
  <c r="E83" i="4"/>
  <c r="E79" i="4"/>
  <c r="E75" i="4"/>
  <c r="E71" i="4"/>
  <c r="E70" i="4"/>
  <c r="E67" i="4"/>
  <c r="E82" i="4"/>
  <c r="E74" i="4"/>
  <c r="E78" i="4"/>
  <c r="F101" i="4"/>
  <c r="F97" i="4"/>
  <c r="F93" i="4"/>
  <c r="F89" i="4"/>
  <c r="F104" i="4"/>
  <c r="F100" i="4"/>
  <c r="F96" i="4"/>
  <c r="F92" i="4"/>
  <c r="F88" i="4"/>
  <c r="F103" i="4"/>
  <c r="F99" i="4"/>
  <c r="F95" i="4"/>
  <c r="F91" i="4"/>
  <c r="F102" i="4"/>
  <c r="F98" i="4"/>
  <c r="F94" i="4"/>
  <c r="F90" i="4"/>
  <c r="G104" i="4"/>
  <c r="G100" i="4"/>
  <c r="G96" i="4"/>
  <c r="G92" i="4"/>
  <c r="G88" i="4"/>
  <c r="G103" i="4"/>
  <c r="G99" i="4"/>
  <c r="G95" i="4"/>
  <c r="G91" i="4"/>
  <c r="G102" i="4"/>
  <c r="G98" i="4"/>
  <c r="G94" i="4"/>
  <c r="G90" i="4"/>
  <c r="G93" i="4"/>
  <c r="G97" i="4"/>
  <c r="G89" i="4"/>
  <c r="G101" i="4"/>
  <c r="E101" i="4"/>
  <c r="E97" i="4"/>
  <c r="E93" i="4"/>
  <c r="E89" i="4"/>
  <c r="E104" i="4"/>
  <c r="E100" i="4"/>
  <c r="E96" i="4"/>
  <c r="E92" i="4"/>
  <c r="E88" i="4"/>
  <c r="E103" i="4"/>
  <c r="E99" i="4"/>
  <c r="E95" i="4"/>
  <c r="E91" i="4"/>
  <c r="E98" i="4"/>
  <c r="E90" i="4"/>
  <c r="E102" i="4"/>
  <c r="E94" i="4"/>
  <c r="M39" i="4"/>
  <c r="N39" i="4" s="1"/>
  <c r="M27" i="4"/>
  <c r="N27" i="4" s="1"/>
  <c r="M26" i="4"/>
  <c r="N26" i="4" s="1"/>
  <c r="M37" i="4"/>
  <c r="N37" i="4" s="1"/>
  <c r="M36" i="4"/>
  <c r="N36" i="4" s="1"/>
  <c r="M38" i="4"/>
  <c r="N38" i="4" s="1"/>
  <c r="M41" i="4"/>
  <c r="N41" i="4" s="1"/>
  <c r="M42" i="4"/>
  <c r="M28" i="4"/>
  <c r="N28" i="4" s="1"/>
  <c r="M33" i="4"/>
  <c r="N33" i="4" s="1"/>
  <c r="M34" i="4"/>
  <c r="N34" i="4" s="1"/>
  <c r="M40" i="4"/>
  <c r="N40" i="4" s="1"/>
  <c r="M35" i="4"/>
  <c r="N35" i="4" s="1"/>
  <c r="M30" i="4"/>
  <c r="N30" i="4" s="1"/>
  <c r="M32" i="4"/>
  <c r="N32" i="4" s="1"/>
  <c r="M31" i="4"/>
  <c r="N31" i="4" s="1"/>
  <c r="M29" i="4"/>
  <c r="N29" i="4" s="1"/>
  <c r="L82" i="4" l="1"/>
  <c r="L78" i="4"/>
  <c r="L74" i="4"/>
  <c r="L70" i="4"/>
  <c r="L81" i="4"/>
  <c r="L77" i="4"/>
  <c r="L73" i="4"/>
  <c r="L69" i="4"/>
  <c r="L80" i="4"/>
  <c r="L76" i="4"/>
  <c r="L72" i="4"/>
  <c r="L83" i="4"/>
  <c r="L79" i="4"/>
  <c r="L75" i="4"/>
  <c r="L71" i="4"/>
  <c r="L67" i="4"/>
  <c r="L68" i="4"/>
  <c r="K82" i="4"/>
  <c r="K78" i="4"/>
  <c r="K74" i="4"/>
  <c r="K70" i="4"/>
  <c r="K81" i="4"/>
  <c r="K77" i="4"/>
  <c r="K73" i="4"/>
  <c r="K69" i="4"/>
  <c r="K80" i="4"/>
  <c r="K76" i="4"/>
  <c r="K72" i="4"/>
  <c r="K68" i="4"/>
  <c r="K75" i="4"/>
  <c r="K79" i="4"/>
  <c r="K71" i="4"/>
  <c r="K67" i="4"/>
  <c r="K83" i="4"/>
  <c r="I83" i="4"/>
  <c r="I79" i="4"/>
  <c r="I75" i="4"/>
  <c r="I71" i="4"/>
  <c r="I67" i="4"/>
  <c r="I82" i="4"/>
  <c r="I78" i="4"/>
  <c r="I74" i="4"/>
  <c r="I70" i="4"/>
  <c r="I81" i="4"/>
  <c r="I77" i="4"/>
  <c r="I73" i="4"/>
  <c r="I69" i="4"/>
  <c r="I76" i="4"/>
  <c r="I80" i="4"/>
  <c r="I68" i="4"/>
  <c r="I72" i="4"/>
  <c r="J83" i="4"/>
  <c r="J79" i="4"/>
  <c r="J75" i="4"/>
  <c r="J71" i="4"/>
  <c r="J67" i="4"/>
  <c r="J82" i="4"/>
  <c r="J78" i="4"/>
  <c r="J74" i="4"/>
  <c r="J70" i="4"/>
  <c r="J81" i="4"/>
  <c r="J77" i="4"/>
  <c r="J73" i="4"/>
  <c r="J80" i="4"/>
  <c r="J76" i="4"/>
  <c r="J72" i="4"/>
  <c r="J68" i="4"/>
  <c r="J69" i="4"/>
  <c r="H80" i="4"/>
  <c r="H76" i="4"/>
  <c r="H72" i="4"/>
  <c r="H68" i="4"/>
  <c r="H83" i="4"/>
  <c r="H79" i="4"/>
  <c r="H75" i="4"/>
  <c r="H71" i="4"/>
  <c r="H67" i="4"/>
  <c r="H82" i="4"/>
  <c r="H78" i="4"/>
  <c r="H74" i="4"/>
  <c r="H70" i="4"/>
  <c r="H81" i="4"/>
  <c r="H77" i="4"/>
  <c r="H73" i="4"/>
  <c r="H69" i="4"/>
  <c r="G80" i="4"/>
  <c r="G76" i="4"/>
  <c r="G72" i="4"/>
  <c r="G68" i="4"/>
  <c r="G83" i="4"/>
  <c r="G79" i="4"/>
  <c r="G75" i="4"/>
  <c r="G71" i="4"/>
  <c r="G67" i="4"/>
  <c r="G82" i="4"/>
  <c r="G78" i="4"/>
  <c r="G74" i="4"/>
  <c r="G70" i="4"/>
  <c r="G81" i="4"/>
  <c r="G69" i="4"/>
  <c r="G73" i="4"/>
  <c r="G77" i="4"/>
  <c r="D82" i="4"/>
  <c r="D78" i="4"/>
  <c r="D74" i="4"/>
  <c r="D70" i="4"/>
  <c r="D81" i="4"/>
  <c r="D77" i="4"/>
  <c r="D73" i="4"/>
  <c r="D69" i="4"/>
  <c r="D80" i="4"/>
  <c r="D76" i="4"/>
  <c r="D72" i="4"/>
  <c r="D83" i="4"/>
  <c r="D79" i="4"/>
  <c r="D75" i="4"/>
  <c r="D71" i="4"/>
  <c r="D67" i="4"/>
  <c r="D68" i="4"/>
  <c r="F81" i="4"/>
  <c r="F77" i="4"/>
  <c r="F73" i="4"/>
  <c r="F69" i="4"/>
  <c r="F80" i="4"/>
  <c r="F76" i="4"/>
  <c r="F72" i="4"/>
  <c r="F68" i="4"/>
  <c r="F83" i="4"/>
  <c r="F79" i="4"/>
  <c r="F75" i="4"/>
  <c r="F71" i="4"/>
  <c r="F82" i="4"/>
  <c r="F78" i="4"/>
  <c r="F74" i="4"/>
  <c r="F70" i="4"/>
  <c r="F67" i="4"/>
  <c r="M88" i="4"/>
  <c r="N88" i="4" s="1"/>
  <c r="M102" i="4"/>
  <c r="N102" i="4" s="1"/>
  <c r="M103" i="4"/>
  <c r="N103" i="4" s="1"/>
  <c r="M100" i="4"/>
  <c r="N100" i="4" s="1"/>
  <c r="M97" i="4"/>
  <c r="N97" i="4" s="1"/>
  <c r="M93" i="4"/>
  <c r="N93" i="4" s="1"/>
  <c r="M104" i="4"/>
  <c r="N104" i="4" s="1"/>
  <c r="M96" i="4"/>
  <c r="N96" i="4" s="1"/>
  <c r="N51" i="4"/>
  <c r="N55" i="4"/>
  <c r="N53" i="4"/>
  <c r="N59" i="4"/>
  <c r="N57" i="4"/>
  <c r="M98" i="4"/>
  <c r="N98" i="4" s="1"/>
  <c r="N61" i="4"/>
  <c r="M94" i="4"/>
  <c r="N94" i="4" s="1"/>
  <c r="M99" i="4"/>
  <c r="N99" i="4" s="1"/>
  <c r="N48" i="4"/>
  <c r="N50" i="4"/>
  <c r="M92" i="4"/>
  <c r="N92" i="4" s="1"/>
  <c r="M95" i="4"/>
  <c r="N95" i="4" s="1"/>
  <c r="M101" i="4"/>
  <c r="N101" i="4" s="1"/>
  <c r="N52" i="4"/>
  <c r="N54" i="4"/>
  <c r="M89" i="4"/>
  <c r="N89" i="4" s="1"/>
  <c r="N49" i="4"/>
  <c r="N56" i="4"/>
  <c r="N58" i="4"/>
  <c r="M90" i="4"/>
  <c r="N90" i="4" s="1"/>
  <c r="N47" i="4"/>
  <c r="N60" i="4"/>
  <c r="N62" i="4"/>
  <c r="M91" i="4"/>
  <c r="N91" i="4" s="1"/>
  <c r="V71" i="4"/>
  <c r="E123" i="4"/>
  <c r="G123" i="4"/>
  <c r="F123" i="4"/>
  <c r="H122" i="4"/>
  <c r="I118" i="4"/>
  <c r="J121" i="4"/>
  <c r="K116" i="4"/>
  <c r="D113" i="4"/>
  <c r="L112" i="4"/>
  <c r="N63" i="4"/>
  <c r="N42" i="4"/>
  <c r="K114" i="4" l="1"/>
  <c r="K120" i="4"/>
  <c r="J112" i="4"/>
  <c r="L118" i="4"/>
  <c r="J110" i="4"/>
  <c r="L116" i="4"/>
  <c r="F110" i="4"/>
  <c r="H109" i="4"/>
  <c r="G124" i="4"/>
  <c r="G138" i="4" s="1"/>
  <c r="F108" i="4"/>
  <c r="H111" i="4"/>
  <c r="G110" i="4"/>
  <c r="E110" i="4"/>
  <c r="D123" i="4"/>
  <c r="E108" i="4"/>
  <c r="D117" i="4"/>
  <c r="H113" i="4"/>
  <c r="H115" i="4"/>
  <c r="E114" i="4"/>
  <c r="E112" i="4"/>
  <c r="K111" i="4"/>
  <c r="K124" i="4"/>
  <c r="L122" i="4"/>
  <c r="L120" i="4"/>
  <c r="G112" i="4"/>
  <c r="G114" i="4"/>
  <c r="I111" i="4"/>
  <c r="I109" i="4"/>
  <c r="D110" i="4"/>
  <c r="D108" i="4"/>
  <c r="D121" i="4"/>
  <c r="J116" i="4"/>
  <c r="J114" i="4"/>
  <c r="F114" i="4"/>
  <c r="F112" i="4"/>
  <c r="H117" i="4"/>
  <c r="E118" i="4"/>
  <c r="E116" i="4"/>
  <c r="K115" i="4"/>
  <c r="K109" i="4"/>
  <c r="L111" i="4"/>
  <c r="L124" i="4"/>
  <c r="G120" i="4"/>
  <c r="G118" i="4"/>
  <c r="I119" i="4"/>
  <c r="I113" i="4"/>
  <c r="D114" i="4"/>
  <c r="D112" i="4"/>
  <c r="J120" i="4"/>
  <c r="J118" i="4"/>
  <c r="F118" i="4"/>
  <c r="F116" i="4"/>
  <c r="I123" i="4"/>
  <c r="H108" i="4"/>
  <c r="H121" i="4"/>
  <c r="H123" i="4"/>
  <c r="E122" i="4"/>
  <c r="E120" i="4"/>
  <c r="K119" i="4"/>
  <c r="K113" i="4"/>
  <c r="L115" i="4"/>
  <c r="L109" i="4"/>
  <c r="G108" i="4"/>
  <c r="G122" i="4"/>
  <c r="I115" i="4"/>
  <c r="I117" i="4"/>
  <c r="D118" i="4"/>
  <c r="D116" i="4"/>
  <c r="J111" i="4"/>
  <c r="J124" i="4"/>
  <c r="J122" i="4"/>
  <c r="F122" i="4"/>
  <c r="F120" i="4"/>
  <c r="I124" i="4"/>
  <c r="H112" i="4"/>
  <c r="H110" i="4"/>
  <c r="E117" i="4"/>
  <c r="E111" i="4"/>
  <c r="E124" i="4"/>
  <c r="K123" i="4"/>
  <c r="K117" i="4"/>
  <c r="L119" i="4"/>
  <c r="L113" i="4"/>
  <c r="G109" i="4"/>
  <c r="G111" i="4"/>
  <c r="I108" i="4"/>
  <c r="I121" i="4"/>
  <c r="D122" i="4"/>
  <c r="D120" i="4"/>
  <c r="J115" i="4"/>
  <c r="J109" i="4"/>
  <c r="F109" i="4"/>
  <c r="F111" i="4"/>
  <c r="F124" i="4"/>
  <c r="H116" i="4"/>
  <c r="H114" i="4"/>
  <c r="E113" i="4"/>
  <c r="E115" i="4"/>
  <c r="K122" i="4"/>
  <c r="K108" i="4"/>
  <c r="K121" i="4"/>
  <c r="L123" i="4"/>
  <c r="L117" i="4"/>
  <c r="G113" i="4"/>
  <c r="G115" i="4"/>
  <c r="I112" i="4"/>
  <c r="I110" i="4"/>
  <c r="D111" i="4"/>
  <c r="D124" i="4"/>
  <c r="J119" i="4"/>
  <c r="J113" i="4"/>
  <c r="F113" i="4"/>
  <c r="F115" i="4"/>
  <c r="I122" i="4"/>
  <c r="C124" i="4"/>
  <c r="C111" i="4"/>
  <c r="C120" i="4"/>
  <c r="C122" i="4"/>
  <c r="C109" i="4"/>
  <c r="C116" i="4"/>
  <c r="C114" i="4"/>
  <c r="C112" i="4"/>
  <c r="C118" i="4"/>
  <c r="C115" i="4"/>
  <c r="C121" i="4"/>
  <c r="C108" i="4"/>
  <c r="C110" i="4"/>
  <c r="C117" i="4"/>
  <c r="C123" i="4"/>
  <c r="C113" i="4"/>
  <c r="C119" i="4"/>
  <c r="H120" i="4"/>
  <c r="H118" i="4"/>
  <c r="E121" i="4"/>
  <c r="E119" i="4"/>
  <c r="K110" i="4"/>
  <c r="K112" i="4"/>
  <c r="L110" i="4"/>
  <c r="L108" i="4"/>
  <c r="L121" i="4"/>
  <c r="G117" i="4"/>
  <c r="G119" i="4"/>
  <c r="I116" i="4"/>
  <c r="I114" i="4"/>
  <c r="D115" i="4"/>
  <c r="D109" i="4"/>
  <c r="J123" i="4"/>
  <c r="J117" i="4"/>
  <c r="F117" i="4"/>
  <c r="F119" i="4"/>
  <c r="H124" i="4"/>
  <c r="E109" i="4"/>
  <c r="K118" i="4"/>
  <c r="L114" i="4"/>
  <c r="G116" i="4"/>
  <c r="G121" i="4"/>
  <c r="I120" i="4"/>
  <c r="D119" i="4"/>
  <c r="J108" i="4"/>
  <c r="F121" i="4"/>
  <c r="M68" i="4"/>
  <c r="N68" i="4" s="1"/>
  <c r="M69" i="4"/>
  <c r="N69" i="4" s="1"/>
  <c r="M82" i="4"/>
  <c r="N82" i="4" s="1"/>
  <c r="M78" i="4"/>
  <c r="N78" i="4" s="1"/>
  <c r="M72" i="4"/>
  <c r="N72" i="4" s="1"/>
  <c r="M76" i="4"/>
  <c r="N76" i="4" s="1"/>
  <c r="M71" i="4"/>
  <c r="N71" i="4" s="1"/>
  <c r="M67" i="4"/>
  <c r="N67" i="4" s="1"/>
  <c r="M73" i="4"/>
  <c r="N73" i="4" s="1"/>
  <c r="M81" i="4"/>
  <c r="N81" i="4" s="1"/>
  <c r="M80" i="4"/>
  <c r="N80" i="4" s="1"/>
  <c r="M75" i="4"/>
  <c r="N75" i="4" s="1"/>
  <c r="M77" i="4"/>
  <c r="N77" i="4" s="1"/>
  <c r="M79" i="4"/>
  <c r="N79" i="4" s="1"/>
  <c r="M83" i="4"/>
  <c r="N83" i="4" s="1"/>
  <c r="M70" i="4"/>
  <c r="N70" i="4" s="1"/>
  <c r="M74" i="4"/>
  <c r="N74" i="4" s="1"/>
  <c r="G135" i="4" l="1"/>
  <c r="G129" i="4"/>
  <c r="G143" i="4"/>
  <c r="G133" i="4"/>
  <c r="G131" i="4"/>
  <c r="G137" i="4"/>
  <c r="G139" i="4"/>
  <c r="G142" i="4"/>
  <c r="G128" i="4"/>
  <c r="G141" i="4"/>
  <c r="G132" i="4"/>
  <c r="G130" i="4"/>
  <c r="G144" i="4"/>
  <c r="G136" i="4"/>
  <c r="G134" i="4"/>
  <c r="G140" i="4"/>
  <c r="D144" i="4"/>
  <c r="D140" i="4"/>
  <c r="D136" i="4"/>
  <c r="D132" i="4"/>
  <c r="D128" i="4"/>
  <c r="D143" i="4"/>
  <c r="D139" i="4"/>
  <c r="D135" i="4"/>
  <c r="D131" i="4"/>
  <c r="D142" i="4"/>
  <c r="D138" i="4"/>
  <c r="D134" i="4"/>
  <c r="D130" i="4"/>
  <c r="D141" i="4"/>
  <c r="D137" i="4"/>
  <c r="D133" i="4"/>
  <c r="D129" i="4"/>
  <c r="K144" i="4"/>
  <c r="K140" i="4"/>
  <c r="K136" i="4"/>
  <c r="K132" i="4"/>
  <c r="K128" i="4"/>
  <c r="K143" i="4"/>
  <c r="K139" i="4"/>
  <c r="K135" i="4"/>
  <c r="K131" i="4"/>
  <c r="K142" i="4"/>
  <c r="K138" i="4"/>
  <c r="K134" i="4"/>
  <c r="K130" i="4"/>
  <c r="K137" i="4"/>
  <c r="K129" i="4"/>
  <c r="K141" i="4"/>
  <c r="K133" i="4"/>
  <c r="C144" i="4"/>
  <c r="C140" i="4"/>
  <c r="C136" i="4"/>
  <c r="C132" i="4"/>
  <c r="C128" i="4"/>
  <c r="C143" i="4"/>
  <c r="C139" i="4"/>
  <c r="C135" i="4"/>
  <c r="C131" i="4"/>
  <c r="C142" i="4"/>
  <c r="C138" i="4"/>
  <c r="C134" i="4"/>
  <c r="C130" i="4"/>
  <c r="C137" i="4"/>
  <c r="C129" i="4"/>
  <c r="C141" i="4"/>
  <c r="C133" i="4"/>
  <c r="F143" i="4"/>
  <c r="F139" i="4"/>
  <c r="F135" i="4"/>
  <c r="F131" i="4"/>
  <c r="F142" i="4"/>
  <c r="F138" i="4"/>
  <c r="F134" i="4"/>
  <c r="F130" i="4"/>
  <c r="F141" i="4"/>
  <c r="F137" i="4"/>
  <c r="F133" i="4"/>
  <c r="F129" i="4"/>
  <c r="F144" i="4"/>
  <c r="F140" i="4"/>
  <c r="F136" i="4"/>
  <c r="F132" i="4"/>
  <c r="F128" i="4"/>
  <c r="I141" i="4"/>
  <c r="I137" i="4"/>
  <c r="I133" i="4"/>
  <c r="I129" i="4"/>
  <c r="I144" i="4"/>
  <c r="I140" i="4"/>
  <c r="I136" i="4"/>
  <c r="I132" i="4"/>
  <c r="I128" i="4"/>
  <c r="I143" i="4"/>
  <c r="I139" i="4"/>
  <c r="I135" i="4"/>
  <c r="I131" i="4"/>
  <c r="I130" i="4"/>
  <c r="I142" i="4"/>
  <c r="I134" i="4"/>
  <c r="I138" i="4"/>
  <c r="L144" i="4"/>
  <c r="L140" i="4"/>
  <c r="L136" i="4"/>
  <c r="L132" i="4"/>
  <c r="L128" i="4"/>
  <c r="L143" i="4"/>
  <c r="L139" i="4"/>
  <c r="L135" i="4"/>
  <c r="L131" i="4"/>
  <c r="L142" i="4"/>
  <c r="L138" i="4"/>
  <c r="L134" i="4"/>
  <c r="L130" i="4"/>
  <c r="L141" i="4"/>
  <c r="L137" i="4"/>
  <c r="L133" i="4"/>
  <c r="L129" i="4"/>
  <c r="J141" i="4"/>
  <c r="J137" i="4"/>
  <c r="J133" i="4"/>
  <c r="J129" i="4"/>
  <c r="J144" i="4"/>
  <c r="J140" i="4"/>
  <c r="J136" i="4"/>
  <c r="J132" i="4"/>
  <c r="J128" i="4"/>
  <c r="J143" i="4"/>
  <c r="J139" i="4"/>
  <c r="J135" i="4"/>
  <c r="J131" i="4"/>
  <c r="J142" i="4"/>
  <c r="J138" i="4"/>
  <c r="J134" i="4"/>
  <c r="J130" i="4"/>
  <c r="H142" i="4"/>
  <c r="H138" i="4"/>
  <c r="H134" i="4"/>
  <c r="H130" i="4"/>
  <c r="H141" i="4"/>
  <c r="H137" i="4"/>
  <c r="H133" i="4"/>
  <c r="H129" i="4"/>
  <c r="H144" i="4"/>
  <c r="H140" i="4"/>
  <c r="H136" i="4"/>
  <c r="H132" i="4"/>
  <c r="H128" i="4"/>
  <c r="H143" i="4"/>
  <c r="H139" i="4"/>
  <c r="H135" i="4"/>
  <c r="H131" i="4"/>
  <c r="E143" i="4"/>
  <c r="E139" i="4"/>
  <c r="E135" i="4"/>
  <c r="E131" i="4"/>
  <c r="E142" i="4"/>
  <c r="E138" i="4"/>
  <c r="E134" i="4"/>
  <c r="E130" i="4"/>
  <c r="E141" i="4"/>
  <c r="E137" i="4"/>
  <c r="E133" i="4"/>
  <c r="E129" i="4"/>
  <c r="E144" i="4"/>
  <c r="E136" i="4"/>
  <c r="E128" i="4"/>
  <c r="E140" i="4"/>
  <c r="E132" i="4"/>
  <c r="M123" i="4"/>
  <c r="N123" i="4" s="1"/>
  <c r="M115" i="4"/>
  <c r="N115" i="4" s="1"/>
  <c r="M122" i="4"/>
  <c r="N122" i="4" s="1"/>
  <c r="M113" i="4"/>
  <c r="N113" i="4" s="1"/>
  <c r="M116" i="4"/>
  <c r="N116" i="4" s="1"/>
  <c r="M111" i="4"/>
  <c r="N111" i="4" s="1"/>
  <c r="M110" i="4"/>
  <c r="N110" i="4" s="1"/>
  <c r="M117" i="4"/>
  <c r="N117" i="4" s="1"/>
  <c r="M120" i="4"/>
  <c r="N120" i="4" s="1"/>
  <c r="M121" i="4"/>
  <c r="N121" i="4" s="1"/>
  <c r="M124" i="4"/>
  <c r="N124" i="4" s="1"/>
  <c r="M114" i="4"/>
  <c r="N114" i="4" s="1"/>
  <c r="M109" i="4"/>
  <c r="N109" i="4" s="1"/>
  <c r="M119" i="4"/>
  <c r="N119" i="4" s="1"/>
  <c r="M108" i="4"/>
  <c r="N108" i="4" s="1"/>
  <c r="M112" i="4"/>
  <c r="N112" i="4" s="1"/>
  <c r="M118" i="4"/>
  <c r="N118" i="4" s="1"/>
  <c r="M139" i="4" l="1"/>
  <c r="N139" i="4" s="1"/>
  <c r="M136" i="4"/>
  <c r="N136" i="4" s="1"/>
  <c r="M144" i="4"/>
  <c r="N144" i="4" s="1"/>
  <c r="M133" i="4"/>
  <c r="N133" i="4" s="1"/>
  <c r="M128" i="4"/>
  <c r="N128" i="4" s="1"/>
  <c r="M142" i="4"/>
  <c r="N142" i="4" s="1"/>
  <c r="M138" i="4"/>
  <c r="N138" i="4" s="1"/>
  <c r="M131" i="4"/>
  <c r="N131" i="4" s="1"/>
  <c r="M137" i="4"/>
  <c r="N137" i="4" s="1"/>
  <c r="M143" i="4"/>
  <c r="N143" i="4" s="1"/>
  <c r="M141" i="4"/>
  <c r="N141" i="4" s="1"/>
  <c r="M130" i="4"/>
  <c r="N130" i="4" s="1"/>
  <c r="M134" i="4"/>
  <c r="N134" i="4" s="1"/>
  <c r="M132" i="4"/>
  <c r="N132" i="4" s="1"/>
  <c r="M140" i="4"/>
  <c r="N140" i="4" s="1"/>
  <c r="M135" i="4"/>
  <c r="N135" i="4" s="1"/>
  <c r="M129" i="4"/>
  <c r="N129" i="4" s="1"/>
  <c r="D20" i="3" l="1"/>
  <c r="D17" i="3"/>
  <c r="D11" i="6" s="1"/>
  <c r="E11" i="6" s="1"/>
  <c r="E17" i="3"/>
  <c r="F11" i="6" l="1"/>
  <c r="J11" i="6"/>
</calcChain>
</file>

<file path=xl/sharedStrings.xml><?xml version="1.0" encoding="utf-8"?>
<sst xmlns="http://schemas.openxmlformats.org/spreadsheetml/2006/main" count="162" uniqueCount="118">
  <si>
    <t>mm</t>
  </si>
  <si>
    <t>31 Hz</t>
  </si>
  <si>
    <t>63 Hz</t>
  </si>
  <si>
    <t>125 Hz</t>
  </si>
  <si>
    <t>250 Hz</t>
  </si>
  <si>
    <t>500 Hz</t>
  </si>
  <si>
    <t>1 kHz</t>
  </si>
  <si>
    <t>2 kHz</t>
  </si>
  <si>
    <t>4 kHz</t>
  </si>
  <si>
    <t>8 kHz</t>
  </si>
  <si>
    <t>16 kHz</t>
  </si>
  <si>
    <t>Lp</t>
  </si>
  <si>
    <t>Lw</t>
  </si>
  <si>
    <t>dB(A)</t>
  </si>
  <si>
    <t xml:space="preserve">dB(C) </t>
  </si>
  <si>
    <t>dB(-)</t>
  </si>
  <si>
    <t>totaal</t>
  </si>
  <si>
    <t>noise requirements</t>
  </si>
  <si>
    <t>sound level source</t>
  </si>
  <si>
    <t>m</t>
  </si>
  <si>
    <t>Energy label A</t>
  </si>
  <si>
    <t>min. dP</t>
  </si>
  <si>
    <t>max. dP</t>
  </si>
  <si>
    <t>Lp / Lw</t>
  </si>
  <si>
    <t>dB(A)/dB(C)/dB(-)</t>
  </si>
  <si>
    <t>ref. velocity</t>
  </si>
  <si>
    <t>ref. Area</t>
  </si>
  <si>
    <t>Volume flow (air)</t>
  </si>
  <si>
    <t>Temperature</t>
  </si>
  <si>
    <t>relevant point @</t>
  </si>
  <si>
    <t>Width [m]</t>
  </si>
  <si>
    <t>Height [m]</t>
  </si>
  <si>
    <r>
      <rPr>
        <vertAlign val="superscript"/>
        <sz val="9"/>
        <color theme="1"/>
        <rFont val="Verdana"/>
        <family val="2"/>
      </rPr>
      <t>o</t>
    </r>
    <r>
      <rPr>
        <sz val="9"/>
        <color theme="1"/>
        <rFont val="Verdana"/>
        <family val="2"/>
      </rPr>
      <t>C</t>
    </r>
  </si>
  <si>
    <t>result:</t>
  </si>
  <si>
    <t>spectral correction</t>
  </si>
  <si>
    <t>density</t>
  </si>
  <si>
    <t>duct to duct</t>
  </si>
  <si>
    <t>duct to plenum</t>
  </si>
  <si>
    <t>plenum to duct</t>
  </si>
  <si>
    <t>plenum to plenum</t>
  </si>
  <si>
    <t>N/A</t>
  </si>
  <si>
    <t>Lw_</t>
  </si>
  <si>
    <t>c</t>
  </si>
  <si>
    <t>Dgeo</t>
  </si>
  <si>
    <t>y=29,65lnX-20,865</t>
  </si>
  <si>
    <t>29,65lnX=y+20,865</t>
  </si>
  <si>
    <t>ln()X=(y+20,865)/29,65</t>
  </si>
  <si>
    <t>X=</t>
  </si>
  <si>
    <t>y = 25,495ln(x) - 1,2209</t>
  </si>
  <si>
    <t>lnx=(y+1,2209)/25,495</t>
  </si>
  <si>
    <t>y = 25,892ln(x) - 3,0621</t>
  </si>
  <si>
    <t>0,55X2+0,8X-6</t>
  </si>
  <si>
    <t>Y+6=(0,55X+0,8)X</t>
  </si>
  <si>
    <t>I</t>
  </si>
  <si>
    <t>II</t>
  </si>
  <si>
    <t>II/III</t>
  </si>
  <si>
    <t>III/III</t>
  </si>
  <si>
    <t>II/IV</t>
  </si>
  <si>
    <t>III/IV</t>
  </si>
  <si>
    <t>INWARD</t>
  </si>
  <si>
    <t>Duct to bulb</t>
  </si>
  <si>
    <t>0.023</t>
  </si>
  <si>
    <t>[-]</t>
  </si>
  <si>
    <t>Plenum to bulb</t>
  </si>
  <si>
    <t>0.10</t>
  </si>
  <si>
    <t>ALONG</t>
  </si>
  <si>
    <t>Alongside</t>
  </si>
  <si>
    <t>0.15</t>
  </si>
  <si>
    <t>[/m]</t>
  </si>
  <si>
    <t>OUTWARD</t>
  </si>
  <si>
    <t>Runoff to duct</t>
  </si>
  <si>
    <t>Runoff to plenum</t>
  </si>
  <si>
    <t>0.23</t>
  </si>
  <si>
    <t>bulb</t>
  </si>
  <si>
    <t>alongside</t>
  </si>
  <si>
    <t>outward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</si>
  <si>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</si>
  <si>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</si>
  <si>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</si>
  <si>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</si>
  <si>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</si>
  <si>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</si>
  <si>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</si>
  <si>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</si>
  <si>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</si>
  <si>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</si>
  <si>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</si>
  <si>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</si>
  <si>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</si>
  <si>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</si>
  <si>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</si>
  <si>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</si>
  <si>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</si>
  <si>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</si>
  <si>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</si>
  <si>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</si>
  <si>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</si>
  <si>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</si>
  <si>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</si>
  <si>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Y</t>
  </si>
  <si>
    <t>A++++</t>
  </si>
  <si>
    <t>A+++</t>
  </si>
  <si>
    <t>A++</t>
  </si>
  <si>
    <t>A+</t>
  </si>
  <si>
    <t>total</t>
  </si>
  <si>
    <t>J</t>
  </si>
  <si>
    <t>kg/h</t>
  </si>
  <si>
    <t>Label for the entire ventilatation system (plenum to plenum)</t>
  </si>
  <si>
    <t>Label for the attenuator only</t>
  </si>
  <si>
    <t>Pa</t>
  </si>
  <si>
    <t>m/s</t>
  </si>
  <si>
    <r>
      <t>m</t>
    </r>
    <r>
      <rPr>
        <vertAlign val="superscript"/>
        <sz val="9"/>
        <color theme="1"/>
        <rFont val="Verdana"/>
        <family val="2"/>
      </rPr>
      <t>2</t>
    </r>
  </si>
  <si>
    <r>
      <t>kg/m</t>
    </r>
    <r>
      <rPr>
        <vertAlign val="superscript"/>
        <sz val="9"/>
        <color theme="1"/>
        <rFont val="Verdana"/>
        <family val="2"/>
      </rPr>
      <t>3</t>
    </r>
  </si>
  <si>
    <t>Situation:</t>
  </si>
  <si>
    <t>Pressure drop dP</t>
  </si>
  <si>
    <t>This calculation was made available by Alara-Lukagro and Energystorageconsultancy</t>
  </si>
  <si>
    <t>Lw in</t>
  </si>
  <si>
    <t>configuration: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</si>
</sst>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5" x14ac:knownFonts="1"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11"/>
      <color rgb="FFFF0000"/>
      <name val="Calibri"/>
      <family val="2"/>
      <scheme val="minor"/>
    </font>
    <font>
      <sz val="9"/>
      <color rgb="FF595959"/>
      <name val="Verdana"/>
      <family val="2"/>
    </font>
    <font>
      <sz val="22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0" xfId="0" applyBorder="1"/>
    <xf numFmtId="0" fontId="0" fillId="4" borderId="9" xfId="0" applyFill="1" applyBorder="1"/>
    <xf numFmtId="0" fontId="0" fillId="2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readingOrder="1"/>
    </xf>
    <xf numFmtId="2" fontId="0" fillId="4" borderId="9" xfId="0" applyNumberFormat="1" applyFill="1" applyBorder="1"/>
    <xf numFmtId="1" fontId="0" fillId="4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2" borderId="17" xfId="0" applyFill="1" applyBorder="1"/>
    <xf numFmtId="0" fontId="0" fillId="2" borderId="18" xfId="0" applyFill="1" applyBorder="1"/>
    <xf numFmtId="2" fontId="0" fillId="2" borderId="0" xfId="0" applyNumberFormat="1" applyFill="1" applyBorder="1"/>
    <xf numFmtId="1" fontId="0" fillId="2" borderId="0" xfId="0" applyNumberFormat="1" applyFill="1" applyBorder="1"/>
    <xf numFmtId="165" fontId="0" fillId="2" borderId="0" xfId="0" applyNumberFormat="1" applyFill="1" applyBorder="1"/>
    <xf numFmtId="165" fontId="0" fillId="0" borderId="0" xfId="0" applyNumberFormat="1"/>
    <xf numFmtId="165" fontId="0" fillId="3" borderId="0" xfId="0" applyNumberFormat="1" applyFill="1"/>
    <xf numFmtId="165" fontId="0" fillId="3" borderId="21" xfId="0" applyNumberFormat="1" applyFill="1" applyBorder="1"/>
    <xf numFmtId="165" fontId="0" fillId="3" borderId="22" xfId="0" applyNumberFormat="1" applyFill="1" applyBorder="1"/>
    <xf numFmtId="165" fontId="0" fillId="3" borderId="23" xfId="0" applyNumberFormat="1" applyFill="1" applyBorder="1"/>
    <xf numFmtId="165" fontId="0" fillId="5" borderId="0" xfId="0" applyNumberFormat="1" applyFill="1"/>
    <xf numFmtId="165" fontId="0" fillId="5" borderId="21" xfId="0" applyNumberFormat="1" applyFill="1" applyBorder="1"/>
    <xf numFmtId="165" fontId="0" fillId="5" borderId="22" xfId="0" applyNumberFormat="1" applyFill="1" applyBorder="1"/>
    <xf numFmtId="165" fontId="0" fillId="5" borderId="23" xfId="0" applyNumberFormat="1" applyFill="1" applyBorder="1"/>
    <xf numFmtId="165" fontId="0" fillId="6" borderId="0" xfId="0" applyNumberFormat="1" applyFill="1"/>
    <xf numFmtId="165" fontId="0" fillId="6" borderId="21" xfId="0" applyNumberFormat="1" applyFill="1" applyBorder="1"/>
    <xf numFmtId="165" fontId="0" fillId="6" borderId="22" xfId="0" applyNumberFormat="1" applyFill="1" applyBorder="1"/>
    <xf numFmtId="165" fontId="0" fillId="6" borderId="23" xfId="0" applyNumberFormat="1" applyFill="1" applyBorder="1"/>
    <xf numFmtId="165" fontId="0" fillId="7" borderId="0" xfId="0" applyNumberFormat="1" applyFill="1"/>
    <xf numFmtId="165" fontId="0" fillId="7" borderId="21" xfId="0" applyNumberFormat="1" applyFill="1" applyBorder="1"/>
    <xf numFmtId="165" fontId="0" fillId="7" borderId="22" xfId="0" applyNumberFormat="1" applyFill="1" applyBorder="1"/>
    <xf numFmtId="165" fontId="0" fillId="7" borderId="23" xfId="0" applyNumberFormat="1" applyFill="1" applyBorder="1"/>
    <xf numFmtId="165" fontId="0" fillId="8" borderId="0" xfId="0" applyNumberFormat="1" applyFill="1"/>
    <xf numFmtId="165" fontId="0" fillId="8" borderId="21" xfId="0" applyNumberFormat="1" applyFill="1" applyBorder="1"/>
    <xf numFmtId="165" fontId="0" fillId="8" borderId="22" xfId="0" applyNumberFormat="1" applyFill="1" applyBorder="1"/>
    <xf numFmtId="165" fontId="0" fillId="8" borderId="23" xfId="0" applyNumberFormat="1" applyFill="1" applyBorder="1"/>
    <xf numFmtId="165" fontId="0" fillId="9" borderId="0" xfId="0" applyNumberFormat="1" applyFill="1"/>
    <xf numFmtId="165" fontId="0" fillId="9" borderId="21" xfId="0" applyNumberFormat="1" applyFill="1" applyBorder="1"/>
    <xf numFmtId="165" fontId="0" fillId="9" borderId="22" xfId="0" applyNumberFormat="1" applyFill="1" applyBorder="1"/>
    <xf numFmtId="165" fontId="0" fillId="9" borderId="23" xfId="0" applyNumberFormat="1" applyFill="1" applyBorder="1"/>
    <xf numFmtId="165" fontId="0" fillId="10" borderId="0" xfId="0" applyNumberFormat="1" applyFill="1"/>
    <xf numFmtId="165" fontId="0" fillId="10" borderId="21" xfId="0" applyNumberFormat="1" applyFill="1" applyBorder="1"/>
    <xf numFmtId="165" fontId="0" fillId="10" borderId="22" xfId="0" applyNumberFormat="1" applyFill="1" applyBorder="1"/>
    <xf numFmtId="165" fontId="0" fillId="10" borderId="23" xfId="0" applyNumberFormat="1" applyFill="1" applyBorder="1"/>
    <xf numFmtId="165" fontId="0" fillId="11" borderId="0" xfId="0" applyNumberFormat="1" applyFill="1"/>
    <xf numFmtId="165" fontId="0" fillId="11" borderId="21" xfId="0" applyNumberFormat="1" applyFill="1" applyBorder="1"/>
    <xf numFmtId="165" fontId="0" fillId="11" borderId="22" xfId="0" applyNumberFormat="1" applyFill="1" applyBorder="1"/>
    <xf numFmtId="165" fontId="0" fillId="11" borderId="23" xfId="0" applyNumberFormat="1" applyFill="1" applyBorder="1"/>
    <xf numFmtId="0" fontId="0" fillId="11" borderId="0" xfId="0" applyFill="1"/>
    <xf numFmtId="0" fontId="0" fillId="12" borderId="0" xfId="0" applyFill="1"/>
    <xf numFmtId="0" fontId="0" fillId="10" borderId="0" xfId="0" applyFill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4" borderId="0" xfId="0" applyFill="1" applyBorder="1"/>
    <xf numFmtId="2" fontId="0" fillId="2" borderId="0" xfId="0" applyNumberForma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2" borderId="0" xfId="0" applyFill="1" applyBorder="1" applyAlignment="1">
      <alignment wrapText="1"/>
    </xf>
    <xf numFmtId="165" fontId="4" fillId="4" borderId="24" xfId="0" applyNumberFormat="1" applyFont="1" applyFill="1" applyBorder="1" applyAlignment="1">
      <alignment horizontal="center"/>
    </xf>
    <xf numFmtId="165" fontId="4" fillId="4" borderId="2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13" borderId="24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3" borderId="20" xfId="0" applyFill="1" applyBorder="1" applyAlignment="1">
      <alignment horizontal="center"/>
    </xf>
  </cellXfs>
  <cellStyles count="1">
    <cellStyle name="Standaard" xfId="0" builtinId="0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CC"/>
      <color rgb="FF66CCFF"/>
      <color rgb="FF66FFFF"/>
      <color rgb="FF99FF33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9</xdr:row>
          <xdr:rowOff>28575</xdr:rowOff>
        </xdr:from>
        <xdr:to>
          <xdr:col>24</xdr:col>
          <xdr:colOff>476250</xdr:colOff>
          <xdr:row>11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13</xdr:row>
          <xdr:rowOff>19050</xdr:rowOff>
        </xdr:from>
        <xdr:to>
          <xdr:col>29</xdr:col>
          <xdr:colOff>123825</xdr:colOff>
          <xdr:row>18</xdr:row>
          <xdr:rowOff>85725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</xdr:row>
          <xdr:rowOff>104775</xdr:rowOff>
        </xdr:from>
        <xdr:to>
          <xdr:col>29</xdr:col>
          <xdr:colOff>352425</xdr:colOff>
          <xdr:row>12</xdr:row>
          <xdr:rowOff>85725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161925</xdr:colOff>
      <xdr:row>16</xdr:row>
      <xdr:rowOff>0</xdr:rowOff>
    </xdr:from>
    <xdr:to>
      <xdr:col>17</xdr:col>
      <xdr:colOff>304799</xdr:colOff>
      <xdr:row>25</xdr:row>
      <xdr:rowOff>66674</xdr:rowOff>
    </xdr:to>
    <xdr:pic>
      <xdr:nvPicPr>
        <xdr:cNvPr id="4" name="Afbeelding 3" descr="Alara Lukagro Company Profile: Acquisition &amp; Investors | PitchBo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2314575"/>
          <a:ext cx="1638299" cy="1638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295275</xdr:colOff>
      <xdr:row>14</xdr:row>
      <xdr:rowOff>9525</xdr:rowOff>
    </xdr:from>
    <xdr:to>
      <xdr:col>17</xdr:col>
      <xdr:colOff>731954</xdr:colOff>
      <xdr:row>20</xdr:row>
      <xdr:rowOff>142875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6625" y="2038350"/>
          <a:ext cx="436679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2:Y19"/>
  <sheetViews>
    <sheetView workbookViewId="0">
      <selection activeCell="P29" sqref="P29"/>
    </sheetView>
  </sheetViews>
  <sheetFormatPr defaultRowHeight="11.25" x14ac:dyDescent="0.15"/>
  <sheetData>
    <row r="2" spans="2:25" x14ac:dyDescent="0.15">
      <c r="B2">
        <v>2.3E-2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</row>
    <row r="3" spans="2:25" x14ac:dyDescent="0.15">
      <c r="B3">
        <v>0.1</v>
      </c>
      <c r="D3">
        <v>500</v>
      </c>
      <c r="E3">
        <v>1.3</v>
      </c>
      <c r="F3">
        <v>1.4</v>
      </c>
      <c r="G3">
        <v>1.8</v>
      </c>
      <c r="H3">
        <v>3.7</v>
      </c>
      <c r="I3">
        <v>9.6</v>
      </c>
      <c r="J3">
        <v>17.100000000000001</v>
      </c>
      <c r="K3">
        <v>19.600000000000001</v>
      </c>
      <c r="L3">
        <v>18.100000000000001</v>
      </c>
      <c r="M3">
        <v>12.2</v>
      </c>
      <c r="N3">
        <v>9.8000000000000007</v>
      </c>
      <c r="P3">
        <v>-39.4</v>
      </c>
      <c r="Q3">
        <v>-26.2</v>
      </c>
      <c r="R3">
        <v>-16.100000000000001</v>
      </c>
      <c r="S3">
        <v>-8.6</v>
      </c>
      <c r="T3">
        <v>-3.2</v>
      </c>
      <c r="U3">
        <v>0</v>
      </c>
      <c r="V3">
        <v>1.2</v>
      </c>
      <c r="W3">
        <v>1</v>
      </c>
      <c r="X3">
        <v>-1.1000000000000001</v>
      </c>
      <c r="Y3">
        <v>-6.6</v>
      </c>
    </row>
    <row r="4" spans="2:25" x14ac:dyDescent="0.15">
      <c r="B4">
        <v>0.15</v>
      </c>
      <c r="D4">
        <v>750</v>
      </c>
      <c r="E4">
        <v>1.9</v>
      </c>
      <c r="F4">
        <v>2.1</v>
      </c>
      <c r="G4">
        <v>2.7</v>
      </c>
      <c r="H4">
        <v>5.5</v>
      </c>
      <c r="I4">
        <v>13.9</v>
      </c>
      <c r="J4">
        <v>23.9</v>
      </c>
      <c r="K4">
        <v>26.8</v>
      </c>
      <c r="L4">
        <v>23</v>
      </c>
      <c r="M4">
        <v>14.3</v>
      </c>
      <c r="N4">
        <v>10</v>
      </c>
      <c r="P4">
        <v>-3</v>
      </c>
      <c r="Q4">
        <v>-0.8</v>
      </c>
      <c r="R4">
        <v>-0.3</v>
      </c>
      <c r="S4">
        <v>0</v>
      </c>
      <c r="T4">
        <v>0</v>
      </c>
      <c r="U4">
        <v>0</v>
      </c>
      <c r="V4">
        <v>-0.2</v>
      </c>
      <c r="W4">
        <v>-0.8</v>
      </c>
      <c r="X4">
        <v>-3</v>
      </c>
      <c r="Y4">
        <v>-8.5</v>
      </c>
    </row>
    <row r="5" spans="2:25" x14ac:dyDescent="0.15">
      <c r="B5">
        <v>0.1</v>
      </c>
      <c r="D5">
        <v>1000</v>
      </c>
      <c r="E5">
        <v>2.6</v>
      </c>
      <c r="F5">
        <v>2.7</v>
      </c>
      <c r="G5">
        <v>3.6</v>
      </c>
      <c r="H5">
        <v>7.3</v>
      </c>
      <c r="I5">
        <v>18</v>
      </c>
      <c r="J5">
        <v>29.5</v>
      </c>
      <c r="K5">
        <v>33</v>
      </c>
      <c r="L5">
        <v>27.6</v>
      </c>
      <c r="M5">
        <v>16.5</v>
      </c>
      <c r="N5">
        <v>11.9</v>
      </c>
    </row>
    <row r="6" spans="2:25" x14ac:dyDescent="0.15">
      <c r="B6">
        <v>0.23</v>
      </c>
      <c r="D6">
        <v>1250</v>
      </c>
      <c r="E6">
        <v>3.2</v>
      </c>
      <c r="F6">
        <v>3.4</v>
      </c>
      <c r="G6">
        <v>4.4000000000000004</v>
      </c>
      <c r="H6">
        <v>9</v>
      </c>
      <c r="I6">
        <v>21.8</v>
      </c>
      <c r="J6">
        <v>33.9</v>
      </c>
      <c r="K6">
        <v>38</v>
      </c>
      <c r="L6">
        <v>31.8</v>
      </c>
      <c r="M6">
        <v>18.600000000000001</v>
      </c>
      <c r="N6">
        <v>12.8</v>
      </c>
    </row>
    <row r="7" spans="2:25" x14ac:dyDescent="0.15">
      <c r="D7">
        <v>1500</v>
      </c>
      <c r="E7">
        <v>3.8</v>
      </c>
      <c r="F7">
        <v>4.0999999999999996</v>
      </c>
      <c r="G7">
        <v>5.3</v>
      </c>
      <c r="H7">
        <v>10.7</v>
      </c>
      <c r="I7">
        <v>25.2</v>
      </c>
      <c r="J7">
        <v>37.299999999999997</v>
      </c>
      <c r="K7">
        <v>42</v>
      </c>
      <c r="L7">
        <v>35.700000000000003</v>
      </c>
      <c r="M7">
        <v>20.6</v>
      </c>
      <c r="N7">
        <v>13.9</v>
      </c>
    </row>
    <row r="8" spans="2:25" x14ac:dyDescent="0.15">
      <c r="D8">
        <v>1750</v>
      </c>
      <c r="E8">
        <v>4.4000000000000004</v>
      </c>
      <c r="F8">
        <v>4.7</v>
      </c>
      <c r="G8">
        <v>6.2</v>
      </c>
      <c r="H8">
        <v>12.3</v>
      </c>
      <c r="I8">
        <v>28.3</v>
      </c>
      <c r="J8">
        <v>39.799999999999997</v>
      </c>
      <c r="K8">
        <v>45.1</v>
      </c>
      <c r="L8">
        <v>39.1</v>
      </c>
      <c r="M8">
        <v>22.6</v>
      </c>
      <c r="N8">
        <v>14.9</v>
      </c>
    </row>
    <row r="9" spans="2:25" x14ac:dyDescent="0.15">
      <c r="D9">
        <v>2000</v>
      </c>
      <c r="E9">
        <v>5</v>
      </c>
      <c r="F9">
        <v>5.4</v>
      </c>
      <c r="G9">
        <v>7</v>
      </c>
      <c r="H9">
        <v>13.9</v>
      </c>
      <c r="I9">
        <v>30.9</v>
      </c>
      <c r="J9">
        <v>41.6</v>
      </c>
      <c r="K9">
        <v>47.4</v>
      </c>
      <c r="L9">
        <v>42.1</v>
      </c>
      <c r="M9">
        <v>24.5</v>
      </c>
      <c r="N9">
        <v>15.9</v>
      </c>
    </row>
    <row r="10" spans="2:25" x14ac:dyDescent="0.15">
      <c r="D10">
        <v>2250</v>
      </c>
      <c r="E10">
        <v>5.7</v>
      </c>
      <c r="F10">
        <v>6.1</v>
      </c>
      <c r="G10">
        <v>7.9</v>
      </c>
      <c r="H10">
        <v>15.5</v>
      </c>
      <c r="I10">
        <v>33.299999999999997</v>
      </c>
      <c r="J10">
        <v>42.9</v>
      </c>
      <c r="K10">
        <v>49.1</v>
      </c>
      <c r="L10">
        <v>44.7</v>
      </c>
      <c r="M10">
        <v>26.4</v>
      </c>
      <c r="N10">
        <v>16.899999999999999</v>
      </c>
    </row>
    <row r="11" spans="2:25" x14ac:dyDescent="0.15">
      <c r="D11">
        <v>2500</v>
      </c>
      <c r="E11">
        <v>6.2</v>
      </c>
      <c r="F11">
        <v>6.7</v>
      </c>
      <c r="G11">
        <v>8.6999999999999993</v>
      </c>
      <c r="H11">
        <v>17</v>
      </c>
      <c r="I11">
        <v>35.299999999999997</v>
      </c>
      <c r="J11">
        <v>43.8</v>
      </c>
      <c r="K11">
        <v>50.4</v>
      </c>
      <c r="L11">
        <v>47</v>
      </c>
      <c r="M11">
        <v>28.2</v>
      </c>
      <c r="N11">
        <v>17.8</v>
      </c>
    </row>
    <row r="12" spans="2:25" x14ac:dyDescent="0.15">
      <c r="D12">
        <v>2750</v>
      </c>
      <c r="E12">
        <v>6.8</v>
      </c>
      <c r="F12">
        <v>7.3</v>
      </c>
      <c r="G12">
        <v>9.5</v>
      </c>
      <c r="H12">
        <v>18.399999999999999</v>
      </c>
      <c r="I12">
        <v>37</v>
      </c>
      <c r="J12">
        <v>44.4</v>
      </c>
      <c r="K12">
        <v>51.3</v>
      </c>
      <c r="L12">
        <v>48.9</v>
      </c>
      <c r="M12">
        <v>29.9</v>
      </c>
      <c r="N12">
        <v>18.8</v>
      </c>
    </row>
    <row r="13" spans="2:25" x14ac:dyDescent="0.15">
      <c r="D13">
        <v>3000</v>
      </c>
      <c r="E13">
        <v>7.4</v>
      </c>
      <c r="F13">
        <v>8</v>
      </c>
      <c r="G13">
        <v>10.3</v>
      </c>
      <c r="H13">
        <v>19.8</v>
      </c>
      <c r="I13">
        <v>38.4</v>
      </c>
      <c r="J13">
        <v>44.9</v>
      </c>
      <c r="K13">
        <v>52</v>
      </c>
      <c r="L13">
        <v>50.6</v>
      </c>
      <c r="M13">
        <v>31.5</v>
      </c>
      <c r="N13">
        <v>19.8</v>
      </c>
    </row>
    <row r="14" spans="2:25" x14ac:dyDescent="0.15">
      <c r="D14">
        <v>3250</v>
      </c>
      <c r="E14">
        <v>8</v>
      </c>
      <c r="F14">
        <v>8.6</v>
      </c>
      <c r="G14">
        <v>11.1</v>
      </c>
      <c r="H14">
        <v>21.1</v>
      </c>
      <c r="I14">
        <v>39.6</v>
      </c>
      <c r="J14">
        <v>45.2</v>
      </c>
      <c r="K14">
        <v>52.5</v>
      </c>
      <c r="L14">
        <v>51.9</v>
      </c>
      <c r="M14">
        <v>33</v>
      </c>
      <c r="N14">
        <v>20.7</v>
      </c>
    </row>
    <row r="15" spans="2:25" x14ac:dyDescent="0.15">
      <c r="D15">
        <v>3500</v>
      </c>
      <c r="E15">
        <v>8.5</v>
      </c>
      <c r="F15">
        <v>9.1999999999999993</v>
      </c>
      <c r="G15">
        <v>11.9</v>
      </c>
      <c r="H15">
        <v>22.3</v>
      </c>
      <c r="I15">
        <v>40.6</v>
      </c>
      <c r="J15">
        <v>45.4</v>
      </c>
      <c r="K15">
        <v>52.8</v>
      </c>
      <c r="L15">
        <v>53.1</v>
      </c>
      <c r="M15">
        <v>34.5</v>
      </c>
      <c r="N15">
        <v>21.6</v>
      </c>
    </row>
    <row r="16" spans="2:25" x14ac:dyDescent="0.15">
      <c r="D16">
        <v>3750</v>
      </c>
      <c r="E16">
        <v>9</v>
      </c>
      <c r="F16">
        <v>9.8000000000000007</v>
      </c>
      <c r="G16">
        <v>12.6</v>
      </c>
      <c r="H16">
        <v>23.5</v>
      </c>
      <c r="I16">
        <v>41.4</v>
      </c>
      <c r="J16">
        <v>45.5</v>
      </c>
      <c r="K16">
        <v>53.1</v>
      </c>
      <c r="L16">
        <v>54</v>
      </c>
      <c r="M16">
        <v>35.9</v>
      </c>
      <c r="N16">
        <v>22.5</v>
      </c>
    </row>
    <row r="17" spans="4:14" x14ac:dyDescent="0.15">
      <c r="D17">
        <v>4000</v>
      </c>
      <c r="E17">
        <v>9.6</v>
      </c>
      <c r="F17">
        <v>10.4</v>
      </c>
      <c r="G17">
        <v>13.4</v>
      </c>
      <c r="H17">
        <v>24.6</v>
      </c>
      <c r="I17">
        <v>42.1</v>
      </c>
      <c r="J17">
        <v>45.6</v>
      </c>
      <c r="K17">
        <v>63.3</v>
      </c>
      <c r="L17">
        <v>54.8</v>
      </c>
      <c r="M17">
        <v>37.200000000000003</v>
      </c>
      <c r="N17">
        <v>23.5</v>
      </c>
    </row>
    <row r="18" spans="4:14" x14ac:dyDescent="0.15">
      <c r="D18">
        <v>4250</v>
      </c>
      <c r="E18">
        <v>10.1</v>
      </c>
      <c r="F18">
        <v>11</v>
      </c>
      <c r="G18">
        <v>14.1</v>
      </c>
      <c r="H18">
        <v>25.7</v>
      </c>
      <c r="I18">
        <v>42.6</v>
      </c>
      <c r="J18">
        <v>45.7</v>
      </c>
      <c r="K18">
        <v>53.4</v>
      </c>
      <c r="L18">
        <v>55.5</v>
      </c>
      <c r="M18">
        <v>38.4</v>
      </c>
      <c r="N18">
        <v>24.3</v>
      </c>
    </row>
    <row r="19" spans="4:14" x14ac:dyDescent="0.15">
      <c r="D19">
        <v>4500</v>
      </c>
      <c r="E19">
        <v>10.6</v>
      </c>
      <c r="F19">
        <v>11.5</v>
      </c>
      <c r="G19">
        <v>14.8</v>
      </c>
      <c r="H19">
        <v>26.7</v>
      </c>
      <c r="I19">
        <v>43.1</v>
      </c>
      <c r="J19">
        <v>45.8</v>
      </c>
      <c r="K19">
        <v>53.3</v>
      </c>
      <c r="L19">
        <v>56</v>
      </c>
      <c r="M19">
        <v>39.5</v>
      </c>
      <c r="N19">
        <v>25.2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AB144"/>
  <sheetViews>
    <sheetView topLeftCell="J1" workbookViewId="0">
      <selection activeCell="P29" sqref="P29"/>
    </sheetView>
  </sheetViews>
  <sheetFormatPr defaultRowHeight="11.25" x14ac:dyDescent="0.15"/>
  <cols>
    <col min="3" max="3" width="9.5" bestFit="1" customWidth="1"/>
    <col min="13" max="13" width="9.5" bestFit="1" customWidth="1"/>
  </cols>
  <sheetData>
    <row r="1" spans="1:22" x14ac:dyDescent="0.15">
      <c r="C1" s="31">
        <v>31</v>
      </c>
      <c r="D1" s="31">
        <v>63</v>
      </c>
      <c r="E1" s="31">
        <v>125</v>
      </c>
      <c r="F1" s="31">
        <v>250</v>
      </c>
      <c r="G1" s="31">
        <v>500</v>
      </c>
      <c r="H1" s="31">
        <v>1000</v>
      </c>
      <c r="I1" s="31">
        <v>2000</v>
      </c>
      <c r="J1" s="31">
        <v>4000</v>
      </c>
      <c r="K1" s="31">
        <v>8000</v>
      </c>
      <c r="L1" s="31">
        <v>16000</v>
      </c>
      <c r="M1" s="31" t="s">
        <v>16</v>
      </c>
      <c r="N1" s="31"/>
      <c r="O1" s="31"/>
      <c r="P1" s="31"/>
      <c r="Q1" s="31"/>
      <c r="R1" s="31"/>
    </row>
    <row r="2" spans="1:22" x14ac:dyDescent="0.15">
      <c r="B2" s="14" t="s">
        <v>34</v>
      </c>
      <c r="C2" s="31">
        <f>INDEX(datablad!P3:P5,rekenblad!$N2,1)</f>
        <v>0</v>
      </c>
      <c r="D2" s="31">
        <f>INDEX(datablad!Q3:Q5,rekenblad!$N2,1)</f>
        <v>0</v>
      </c>
      <c r="E2" s="31">
        <f>INDEX(datablad!R3:R5,rekenblad!$N2,1)</f>
        <v>0</v>
      </c>
      <c r="F2" s="31">
        <f>INDEX(datablad!S3:S5,rekenblad!$N2,1)</f>
        <v>0</v>
      </c>
      <c r="G2" s="31">
        <f>INDEX(datablad!T3:T5,rekenblad!$N2,1)</f>
        <v>0</v>
      </c>
      <c r="H2" s="31">
        <f>INDEX(datablad!U3:U5,rekenblad!$N2,1)</f>
        <v>0</v>
      </c>
      <c r="I2" s="31">
        <f>INDEX(datablad!V3:V5,rekenblad!$N2,1)</f>
        <v>0</v>
      </c>
      <c r="J2" s="31">
        <f>INDEX(datablad!W3:W5,rekenblad!$N2,1)</f>
        <v>0</v>
      </c>
      <c r="K2" s="31">
        <f>INDEX(datablad!X3:X5,rekenblad!$N2,1)</f>
        <v>0</v>
      </c>
      <c r="L2" s="31">
        <f>INDEX(datablad!Y3:Y5,rekenblad!$N2,1)</f>
        <v>0</v>
      </c>
      <c r="M2" s="31"/>
      <c r="N2" s="31">
        <f>IF(Energy_label!Q6="",3,MATCH(Energy_label!Q6,selectieblad!D2:D4,0))</f>
        <v>3</v>
      </c>
      <c r="O2" s="31"/>
      <c r="P2" s="31"/>
      <c r="Q2" s="31"/>
      <c r="R2" s="31"/>
      <c r="S2" t="s">
        <v>59</v>
      </c>
      <c r="T2" t="s">
        <v>60</v>
      </c>
      <c r="U2" t="s">
        <v>61</v>
      </c>
      <c r="V2" t="s">
        <v>62</v>
      </c>
    </row>
    <row r="3" spans="1:22" x14ac:dyDescent="0.15">
      <c r="B3" s="14"/>
      <c r="C3" s="31">
        <f>INDEX(datablad!P3:P5,rekenblad!$N3,1)</f>
        <v>0</v>
      </c>
      <c r="D3" s="31">
        <f>INDEX(datablad!Q3:Q5,rekenblad!$N3,1)</f>
        <v>0</v>
      </c>
      <c r="E3" s="31">
        <f>INDEX(datablad!R3:R5,rekenblad!$N3,1)</f>
        <v>0</v>
      </c>
      <c r="F3" s="31">
        <f>INDEX(datablad!S3:S5,rekenblad!$N3,1)</f>
        <v>0</v>
      </c>
      <c r="G3" s="31">
        <f>INDEX(datablad!T3:T5,rekenblad!$N3,1)</f>
        <v>0</v>
      </c>
      <c r="H3" s="31">
        <f>INDEX(datablad!U3:U5,rekenblad!$N3,1)</f>
        <v>0</v>
      </c>
      <c r="I3" s="31">
        <f>INDEX(datablad!V3:V5,rekenblad!$N3,1)</f>
        <v>0</v>
      </c>
      <c r="J3" s="31">
        <f>INDEX(datablad!W3:W5,rekenblad!$N3,1)</f>
        <v>0</v>
      </c>
      <c r="K3" s="31">
        <f>INDEX(datablad!X3:X5,rekenblad!$N3,1)</f>
        <v>0</v>
      </c>
      <c r="L3" s="31">
        <f>INDEX(datablad!Y3:Y5,rekenblad!$N3,1)</f>
        <v>0</v>
      </c>
      <c r="M3" s="31"/>
      <c r="N3" s="31">
        <f>IF(Energy_label!Q8="",3,MATCH(Energy_label!Q8,selectieblad!D2:D4,0))</f>
        <v>3</v>
      </c>
      <c r="O3" s="31" t="s">
        <v>73</v>
      </c>
      <c r="P3" s="31" t="s">
        <v>74</v>
      </c>
      <c r="Q3" s="31" t="s">
        <v>75</v>
      </c>
      <c r="R3" s="31"/>
      <c r="T3" t="s">
        <v>63</v>
      </c>
      <c r="U3" t="s">
        <v>64</v>
      </c>
      <c r="V3" t="s">
        <v>62</v>
      </c>
    </row>
    <row r="4" spans="1:22" x14ac:dyDescent="0.15">
      <c r="B4" s="14" t="s">
        <v>41</v>
      </c>
      <c r="C4" s="31" t="e">
        <f>-0.55*(LOG(C1/Energy_label!$G$17)*3.33-1.65)^2+0.8*(LOG(C1/Energy_label!$G$17)*3.33-1.65)-6+$M4+C3</f>
        <v>#NUM!</v>
      </c>
      <c r="D4" s="31" t="e">
        <f>-0.55*(LOG(D1/Energy_label!$G$17)*3.33-1.65)^2+0.8*(LOG(D1/Energy_label!$G$17)*3.33-1.65)-6+$M4+D3</f>
        <v>#NUM!</v>
      </c>
      <c r="E4" s="31" t="e">
        <f>-0.55*(LOG(E1/Energy_label!$G$17)*3.33-1.65)^2+0.8*(LOG(E1/Energy_label!$G$17)*3.33-1.65)-6+$M4+E3</f>
        <v>#NUM!</v>
      </c>
      <c r="F4" s="31" t="e">
        <f>-0.55*(LOG(F1/Energy_label!$G$17)*3.33-1.65)^2+0.8*(LOG(F1/Energy_label!$G$17)*3.33-1.65)-6+$M4+F3</f>
        <v>#NUM!</v>
      </c>
      <c r="G4" s="31" t="e">
        <f>-0.55*(LOG(G1/Energy_label!$G$17)*3.33-1.65)^2+0.8*(LOG(G1/Energy_label!$G$17)*3.33-1.65)-6+$M4+G3</f>
        <v>#NUM!</v>
      </c>
      <c r="H4" s="31" t="e">
        <f>-0.55*(LOG(H1/Energy_label!$G$17)*3.33-1.65)^2+0.8*(LOG(H1/Energy_label!$G$17)*3.33-1.65)-6+$M4+H3</f>
        <v>#NUM!</v>
      </c>
      <c r="I4" s="31" t="e">
        <f>-0.55*(LOG(I1/Energy_label!$G$17)*3.33-1.65)^2+0.8*(LOG(I1/Energy_label!$G$17)*3.33-1.65)-6+$M4+I3</f>
        <v>#NUM!</v>
      </c>
      <c r="J4" s="31" t="e">
        <f>-0.55*(LOG(J1/Energy_label!$G$17)*3.33-1.65)^2+0.8*(LOG(J1/Energy_label!$G$17)*3.33-1.65)-6+$M4+J3</f>
        <v>#NUM!</v>
      </c>
      <c r="K4" s="31" t="e">
        <f>-0.55*(LOG(K1/Energy_label!$G$17)*3.33-1.65)^2+0.8*(LOG(K1/Energy_label!$G$17)*3.33-1.65)-6+$M4+K3</f>
        <v>#NUM!</v>
      </c>
      <c r="L4" s="31" t="e">
        <f>-0.55*(LOG(L1/Energy_label!$G$17)*3.33-1.65)^2+0.8*(LOG(L1/Energy_label!$G$17)*3.33-1.65)-6+$M4+L3</f>
        <v>#NUM!</v>
      </c>
      <c r="M4" s="31" t="e">
        <f>7+50*LOG(Energy_label!G17)+10*LOG(Energy_label!I17)</f>
        <v>#NUM!</v>
      </c>
      <c r="N4" s="31"/>
      <c r="O4" s="31"/>
      <c r="P4" s="31"/>
      <c r="Q4" s="31"/>
      <c r="R4" s="31"/>
      <c r="S4" t="s">
        <v>65</v>
      </c>
      <c r="T4" t="s">
        <v>66</v>
      </c>
      <c r="U4" t="s">
        <v>67</v>
      </c>
      <c r="V4" t="s">
        <v>68</v>
      </c>
    </row>
    <row r="5" spans="1:22" ht="12" thickBot="1" x14ac:dyDescent="0.2">
      <c r="B5" s="14" t="s">
        <v>43</v>
      </c>
      <c r="C5" s="31">
        <f>IF(OR(Energy_label!P8="Lw",Energy_label!P8=""),0,-10*LOG(PI()*Energy_label!P10^2+Energy_label!I17+Energy_label!P10*PI()*(Energy_label!L17+Energy_label!K17)))</f>
        <v>0</v>
      </c>
      <c r="D5" s="31">
        <f>C5</f>
        <v>0</v>
      </c>
      <c r="E5" s="31">
        <f t="shared" ref="E5:L5" si="0">D5</f>
        <v>0</v>
      </c>
      <c r="F5" s="31">
        <f t="shared" si="0"/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31">
        <f t="shared" si="0"/>
        <v>0</v>
      </c>
      <c r="L5" s="31">
        <f t="shared" si="0"/>
        <v>0</v>
      </c>
      <c r="M5" s="31"/>
      <c r="N5" s="31"/>
      <c r="O5" s="31">
        <f>IF(LEFT(Energy_label!D10,4)="duct",0.023,0.1)</f>
        <v>0.1</v>
      </c>
      <c r="P5" s="31">
        <v>0.15</v>
      </c>
      <c r="Q5" s="31">
        <f>IF(RIGHT(Energy_label!D10,4)="duct",0.1,0.23)</f>
        <v>0.23</v>
      </c>
      <c r="R5" s="31"/>
      <c r="S5" t="s">
        <v>69</v>
      </c>
      <c r="T5" t="s">
        <v>70</v>
      </c>
      <c r="U5" t="s">
        <v>64</v>
      </c>
      <c r="V5" t="s">
        <v>62</v>
      </c>
    </row>
    <row r="6" spans="1:22" x14ac:dyDescent="0.15">
      <c r="A6" t="s">
        <v>53</v>
      </c>
      <c r="B6">
        <v>500</v>
      </c>
      <c r="C6" s="32" t="e">
        <f>10*LOG(10^((Energy_label!D$6-datablad!E3*IF(AND(Energy_label!$H$12&gt;-10,Energy_label!$H$12&lt;30),1,340/Energy_label!$Q$17)-C$2+C$3)/10)+10^(C$4/10))+C$5</f>
        <v>#NUM!</v>
      </c>
      <c r="D6" s="32" t="e">
        <f>10*LOG(10^((Energy_label!E$6-datablad!F3*IF(AND(Energy_label!$H$12&gt;-10,Energy_label!$H$12&lt;30),1,340/Energy_label!$Q$17)-D$2+D$3)/10)+10^(D$4/10))+D$5</f>
        <v>#NUM!</v>
      </c>
      <c r="E6" s="32" t="e">
        <f>10*LOG(10^((Energy_label!F$6-datablad!G3*IF(AND(Energy_label!$H$12&gt;-10,Energy_label!$H$12&lt;30),1,340/Energy_label!$Q$17)-E$2+E$3)/10)+10^(E$4/10))+E$5</f>
        <v>#NUM!</v>
      </c>
      <c r="F6" s="32" t="e">
        <f>10*LOG(10^((Energy_label!G$6-datablad!H3*IF(AND(Energy_label!$H$12&gt;-10,Energy_label!$H$12&lt;30),1,340/Energy_label!$Q$17)-F$2+F$3)/10)+10^(F$4/10))+F$5</f>
        <v>#NUM!</v>
      </c>
      <c r="G6" s="32" t="e">
        <f>10*LOG(10^((Energy_label!H$6-datablad!I3*IF(AND(Energy_label!$H$12&gt;-10,Energy_label!$H$12&lt;30),1,340/Energy_label!$Q$17)-G$2+G$3)/10)+10^(G$4/10))+G$5</f>
        <v>#NUM!</v>
      </c>
      <c r="H6" s="32" t="e">
        <f>10*LOG(10^((Energy_label!I$6-datablad!J3*IF(AND(Energy_label!$H$12&gt;-10,Energy_label!$H$12&lt;30),1,340/Energy_label!$Q$17)-H$2+H$3)/10)+10^(H$4/10))+H$5</f>
        <v>#NUM!</v>
      </c>
      <c r="I6" s="32" t="e">
        <f>10*LOG(10^((Energy_label!J$6-datablad!K3*IF(AND(Energy_label!$H$12&gt;-10,Energy_label!$H$12&lt;30),1,340/Energy_label!$Q$17)-I$2+I$3)/10)+10^(I$4/10))+I$5</f>
        <v>#NUM!</v>
      </c>
      <c r="J6" s="32" t="e">
        <f>10*LOG(10^((Energy_label!K$6-datablad!L3*IF(AND(Energy_label!$H$12&gt;-10,Energy_label!$H$12&lt;30),1,340/Energy_label!$Q$17)-J$2+J$3)/10)+10^(J$4/10))+J$5</f>
        <v>#NUM!</v>
      </c>
      <c r="K6" s="32" t="e">
        <f>10*LOG(10^((Energy_label!L$6-datablad!M3*IF(AND(Energy_label!$H$12&gt;-10,Energy_label!$H$12&lt;30),1,340/Energy_label!$Q$17)-K$2+K$3)/10)+10^(K$4/10))+K$5</f>
        <v>#NUM!</v>
      </c>
      <c r="L6" s="32" t="e">
        <f>10*LOG(10^((Energy_label!M$6-datablad!N3*IF(AND(Energy_label!$H$12&gt;-10,Energy_label!$H$12&lt;30),1,340/Energy_label!$Q$17)-L$2+L$3)/10)+10^(L$4/10))+L$5</f>
        <v>#NUM!</v>
      </c>
      <c r="M6" s="33" t="e">
        <f t="shared" ref="M6:M22" si="1">10*LOG(10^(C6/10)+10^(D6/10)+10^(E6/10)+10^(F6/10)+10^(G6/10)+10^(H6/10)+10^(I6/10)+10^(J6/10)+10^(K6/10)+10^(L6/10))</f>
        <v>#NUM!</v>
      </c>
      <c r="N6" s="31" t="e">
        <f>IF(M6&lt;Energy_label!N$8,1,0)</f>
        <v>#NUM!</v>
      </c>
      <c r="O6" s="48" t="e">
        <f>0.5*Energy_label!$N$17*Energy_label!$G$17^2*O$5</f>
        <v>#NUM!</v>
      </c>
      <c r="P6" s="48" t="e">
        <f>0.5*Energy_label!$N$17*Energy_label!$G$17^2*P$5*B6/1000</f>
        <v>#NUM!</v>
      </c>
      <c r="Q6" s="48" t="e">
        <f>0.5*Energy_label!$N$17*Energy_label!$G$17^2*Q$5</f>
        <v>#NUM!</v>
      </c>
      <c r="R6" s="49" t="e">
        <f>SUM(O6:Q6)</f>
        <v>#NUM!</v>
      </c>
      <c r="T6" t="s">
        <v>71</v>
      </c>
      <c r="U6" t="s">
        <v>72</v>
      </c>
      <c r="V6" t="s">
        <v>62</v>
      </c>
    </row>
    <row r="7" spans="1:22" x14ac:dyDescent="0.15">
      <c r="B7">
        <v>750</v>
      </c>
      <c r="C7" s="32" t="e">
        <f>10*LOG(10^((Energy_label!D$6-datablad!E4*IF(AND(Energy_label!$H$12&gt;-10,Energy_label!$H$12&lt;30),1,340/Energy_label!$Q$17)-C$2+C$3)/10)+10^(C$4/10))+C$5</f>
        <v>#NUM!</v>
      </c>
      <c r="D7" s="32" t="e">
        <f>10*LOG(10^((Energy_label!E$6-datablad!F4*IF(AND(Energy_label!$H$12&gt;-10,Energy_label!$H$12&lt;30),1,340/Energy_label!$Q$17)-D$2+D$3)/10)+10^(D$4/10))+D$5</f>
        <v>#NUM!</v>
      </c>
      <c r="E7" s="32" t="e">
        <f>10*LOG(10^((Energy_label!F$6-datablad!G4*IF(AND(Energy_label!$H$12&gt;-10,Energy_label!$H$12&lt;30),1,340/Energy_label!$Q$17)-E$2+E$3)/10)+10^(E$4/10))+E$5</f>
        <v>#NUM!</v>
      </c>
      <c r="F7" s="32" t="e">
        <f>10*LOG(10^((Energy_label!G$6-datablad!H4*IF(AND(Energy_label!$H$12&gt;-10,Energy_label!$H$12&lt;30),1,340/Energy_label!$Q$17)-F$2+F$3)/10)+10^(F$4/10))+F$5</f>
        <v>#NUM!</v>
      </c>
      <c r="G7" s="32" t="e">
        <f>10*LOG(10^((Energy_label!H$6-datablad!I4*IF(AND(Energy_label!$H$12&gt;-10,Energy_label!$H$12&lt;30),1,340/Energy_label!$Q$17)-G$2+G$3)/10)+10^(G$4/10))+G$5</f>
        <v>#NUM!</v>
      </c>
      <c r="H7" s="32" t="e">
        <f>10*LOG(10^((Energy_label!I$6-datablad!J4*IF(AND(Energy_label!$H$12&gt;-10,Energy_label!$H$12&lt;30),1,340/Energy_label!$Q$17)-H$2+H$3)/10)+10^(H$4/10))+H$5</f>
        <v>#NUM!</v>
      </c>
      <c r="I7" s="32" t="e">
        <f>10*LOG(10^((Energy_label!J$6-datablad!K4*IF(AND(Energy_label!$H$12&gt;-10,Energy_label!$H$12&lt;30),1,340/Energy_label!$Q$17)-I$2+I$3)/10)+10^(I$4/10))+I$5</f>
        <v>#NUM!</v>
      </c>
      <c r="J7" s="32" t="e">
        <f>10*LOG(10^((Energy_label!K$6-datablad!L4*IF(AND(Energy_label!$H$12&gt;-10,Energy_label!$H$12&lt;30),1,340/Energy_label!$Q$17)-J$2+J$3)/10)+10^(J$4/10))+J$5</f>
        <v>#NUM!</v>
      </c>
      <c r="K7" s="32" t="e">
        <f>10*LOG(10^((Energy_label!L$6-datablad!M4*IF(AND(Energy_label!$H$12&gt;-10,Energy_label!$H$12&lt;30),1,340/Energy_label!$Q$17)-K$2+K$3)/10)+10^(K$4/10))+K$5</f>
        <v>#NUM!</v>
      </c>
      <c r="L7" s="32" t="e">
        <f>10*LOG(10^((Energy_label!M$6-datablad!N4*IF(AND(Energy_label!$H$12&gt;-10,Energy_label!$H$12&lt;30),1,340/Energy_label!$Q$17)-L$2+L$3)/10)+10^(L$4/10))+L$5</f>
        <v>#NUM!</v>
      </c>
      <c r="M7" s="34" t="e">
        <f t="shared" si="1"/>
        <v>#NUM!</v>
      </c>
      <c r="N7" s="31" t="e">
        <f>IF(M7&lt;Energy_label!N$8,1,0)</f>
        <v>#NUM!</v>
      </c>
      <c r="O7" s="48" t="e">
        <f>0.5*Energy_label!$N$17*Energy_label!$G$17^2*O$5</f>
        <v>#NUM!</v>
      </c>
      <c r="P7" s="48" t="e">
        <f>0.5*Energy_label!$N$17*Energy_label!$G$17^2*P$5*B7/1000</f>
        <v>#NUM!</v>
      </c>
      <c r="Q7" s="48" t="e">
        <f>0.5*Energy_label!$N$17*Energy_label!$G$17^2*Q$5</f>
        <v>#NUM!</v>
      </c>
      <c r="R7" s="50" t="e">
        <f t="shared" ref="R7:R21" si="2">SUM(O7:Q7)</f>
        <v>#NUM!</v>
      </c>
    </row>
    <row r="8" spans="1:22" x14ac:dyDescent="0.15">
      <c r="B8">
        <v>1000</v>
      </c>
      <c r="C8" s="32" t="e">
        <f>10*LOG(10^((Energy_label!D$6-datablad!E5*IF(AND(Energy_label!$H$12&gt;-10,Energy_label!$H$12&lt;30),1,340/Energy_label!$Q$17)-C$2+C$3)/10)+10^(C$4/10))+C$5</f>
        <v>#NUM!</v>
      </c>
      <c r="D8" s="32" t="e">
        <f>10*LOG(10^((Energy_label!E$6-datablad!F5*IF(AND(Energy_label!$H$12&gt;-10,Energy_label!$H$12&lt;30),1,340/Energy_label!$Q$17)-D$2+D$3)/10)+10^(D$4/10))+D$5</f>
        <v>#NUM!</v>
      </c>
      <c r="E8" s="32" t="e">
        <f>10*LOG(10^((Energy_label!F$6-datablad!G5*IF(AND(Energy_label!$H$12&gt;-10,Energy_label!$H$12&lt;30),1,340/Energy_label!$Q$17)-E$2+E$3)/10)+10^(E$4/10))+E$5</f>
        <v>#NUM!</v>
      </c>
      <c r="F8" s="32" t="e">
        <f>10*LOG(10^((Energy_label!G$6-datablad!H5*IF(AND(Energy_label!$H$12&gt;-10,Energy_label!$H$12&lt;30),1,340/Energy_label!$Q$17)-F$2+F$3)/10)+10^(F$4/10))+F$5</f>
        <v>#NUM!</v>
      </c>
      <c r="G8" s="32" t="e">
        <f>10*LOG(10^((Energy_label!H$6-datablad!I5*IF(AND(Energy_label!$H$12&gt;-10,Energy_label!$H$12&lt;30),1,340/Energy_label!$Q$17)-G$2+G$3)/10)+10^(G$4/10))+G$5</f>
        <v>#NUM!</v>
      </c>
      <c r="H8" s="32" t="e">
        <f>10*LOG(10^((Energy_label!I$6-datablad!J5*IF(AND(Energy_label!$H$12&gt;-10,Energy_label!$H$12&lt;30),1,340/Energy_label!$Q$17)-H$2+H$3)/10)+10^(H$4/10))+H$5</f>
        <v>#NUM!</v>
      </c>
      <c r="I8" s="32" t="e">
        <f>10*LOG(10^((Energy_label!J$6-datablad!K5*IF(AND(Energy_label!$H$12&gt;-10,Energy_label!$H$12&lt;30),1,340/Energy_label!$Q$17)-I$2+I$3)/10)+10^(I$4/10))+I$5</f>
        <v>#NUM!</v>
      </c>
      <c r="J8" s="32" t="e">
        <f>10*LOG(10^((Energy_label!K$6-datablad!L5*IF(AND(Energy_label!$H$12&gt;-10,Energy_label!$H$12&lt;30),1,340/Energy_label!$Q$17)-J$2+J$3)/10)+10^(J$4/10))+J$5</f>
        <v>#NUM!</v>
      </c>
      <c r="K8" s="32" t="e">
        <f>10*LOG(10^((Energy_label!L$6-datablad!M5*IF(AND(Energy_label!$H$12&gt;-10,Energy_label!$H$12&lt;30),1,340/Energy_label!$Q$17)-K$2+K$3)/10)+10^(K$4/10))+K$5</f>
        <v>#NUM!</v>
      </c>
      <c r="L8" s="32" t="e">
        <f>10*LOG(10^((Energy_label!M$6-datablad!N5*IF(AND(Energy_label!$H$12&gt;-10,Energy_label!$H$12&lt;30),1,340/Energy_label!$Q$17)-L$2+L$3)/10)+10^(L$4/10))+L$5</f>
        <v>#NUM!</v>
      </c>
      <c r="M8" s="34" t="e">
        <f t="shared" si="1"/>
        <v>#NUM!</v>
      </c>
      <c r="N8" s="31" t="e">
        <f>IF(M8&lt;Energy_label!N$8,1,0)</f>
        <v>#NUM!</v>
      </c>
      <c r="O8" s="48" t="e">
        <f>0.5*Energy_label!$N$17*Energy_label!$G$17^2*O$5</f>
        <v>#NUM!</v>
      </c>
      <c r="P8" s="48" t="e">
        <f>0.5*Energy_label!$N$17*Energy_label!$G$17^2*P$5*B8/1000</f>
        <v>#NUM!</v>
      </c>
      <c r="Q8" s="48" t="e">
        <f>0.5*Energy_label!$N$17*Energy_label!$G$17^2*Q$5</f>
        <v>#NUM!</v>
      </c>
      <c r="R8" s="50" t="e">
        <f t="shared" si="2"/>
        <v>#NUM!</v>
      </c>
    </row>
    <row r="9" spans="1:22" x14ac:dyDescent="0.15">
      <c r="B9">
        <v>1250</v>
      </c>
      <c r="C9" s="32" t="e">
        <f>10*LOG(10^((Energy_label!D$6-datablad!E6*IF(AND(Energy_label!$H$12&gt;-10,Energy_label!$H$12&lt;30),1,340/Energy_label!$Q$17)-C$2+C$3)/10)+10^(C$4/10))+C$5</f>
        <v>#NUM!</v>
      </c>
      <c r="D9" s="32" t="e">
        <f>10*LOG(10^((Energy_label!E$6-datablad!F6*IF(AND(Energy_label!$H$12&gt;-10,Energy_label!$H$12&lt;30),1,340/Energy_label!$Q$17)-D$2+D$3)/10)+10^(D$4/10))+D$5</f>
        <v>#NUM!</v>
      </c>
      <c r="E9" s="32" t="e">
        <f>10*LOG(10^((Energy_label!F$6-datablad!G6*IF(AND(Energy_label!$H$12&gt;-10,Energy_label!$H$12&lt;30),1,340/Energy_label!$Q$17)-E$2+E$3)/10)+10^(E$4/10))+E$5</f>
        <v>#NUM!</v>
      </c>
      <c r="F9" s="32" t="e">
        <f>10*LOG(10^((Energy_label!G$6-datablad!H6*IF(AND(Energy_label!$H$12&gt;-10,Energy_label!$H$12&lt;30),1,340/Energy_label!$Q$17)-F$2+F$3)/10)+10^(F$4/10))+F$5</f>
        <v>#NUM!</v>
      </c>
      <c r="G9" s="32" t="e">
        <f>10*LOG(10^((Energy_label!H$6-datablad!I6*IF(AND(Energy_label!$H$12&gt;-10,Energy_label!$H$12&lt;30),1,340/Energy_label!$Q$17)-G$2+G$3)/10)+10^(G$4/10))+G$5</f>
        <v>#NUM!</v>
      </c>
      <c r="H9" s="32" t="e">
        <f>10*LOG(10^((Energy_label!I$6-datablad!J6*IF(AND(Energy_label!$H$12&gt;-10,Energy_label!$H$12&lt;30),1,340/Energy_label!$Q$17)-H$2+H$3)/10)+10^(H$4/10))+H$5</f>
        <v>#NUM!</v>
      </c>
      <c r="I9" s="32" t="e">
        <f>10*LOG(10^((Energy_label!J$6-datablad!K6*IF(AND(Energy_label!$H$12&gt;-10,Energy_label!$H$12&lt;30),1,340/Energy_label!$Q$17)-I$2+I$3)/10)+10^(I$4/10))+I$5</f>
        <v>#NUM!</v>
      </c>
      <c r="J9" s="32" t="e">
        <f>10*LOG(10^((Energy_label!K$6-datablad!L6*IF(AND(Energy_label!$H$12&gt;-10,Energy_label!$H$12&lt;30),1,340/Energy_label!$Q$17)-J$2+J$3)/10)+10^(J$4/10))+J$5</f>
        <v>#NUM!</v>
      </c>
      <c r="K9" s="32" t="e">
        <f>10*LOG(10^((Energy_label!L$6-datablad!M6*IF(AND(Energy_label!$H$12&gt;-10,Energy_label!$H$12&lt;30),1,340/Energy_label!$Q$17)-K$2+K$3)/10)+10^(K$4/10))+K$5</f>
        <v>#NUM!</v>
      </c>
      <c r="L9" s="32" t="e">
        <f>10*LOG(10^((Energy_label!M$6-datablad!N6*IF(AND(Energy_label!$H$12&gt;-10,Energy_label!$H$12&lt;30),1,340/Energy_label!$Q$17)-L$2+L$3)/10)+10^(L$4/10))+L$5</f>
        <v>#NUM!</v>
      </c>
      <c r="M9" s="34" t="e">
        <f t="shared" si="1"/>
        <v>#NUM!</v>
      </c>
      <c r="N9" s="31" t="e">
        <f>IF(M9&lt;Energy_label!N$8,1,0)</f>
        <v>#NUM!</v>
      </c>
      <c r="O9" s="48" t="e">
        <f>0.5*Energy_label!$N$17*Energy_label!$G$17^2*O$5</f>
        <v>#NUM!</v>
      </c>
      <c r="P9" s="48" t="e">
        <f>0.5*Energy_label!$N$17*Energy_label!$G$17^2*P$5*B9/1000</f>
        <v>#NUM!</v>
      </c>
      <c r="Q9" s="48" t="e">
        <f>0.5*Energy_label!$N$17*Energy_label!$G$17^2*Q$5</f>
        <v>#NUM!</v>
      </c>
      <c r="R9" s="50" t="e">
        <f t="shared" si="2"/>
        <v>#NUM!</v>
      </c>
    </row>
    <row r="10" spans="1:22" x14ac:dyDescent="0.15">
      <c r="B10">
        <v>1500</v>
      </c>
      <c r="C10" s="32" t="e">
        <f>10*LOG(10^((Energy_label!D$6-datablad!E7*IF(AND(Energy_label!$H$12&gt;-10,Energy_label!$H$12&lt;30),1,340/Energy_label!$Q$17)-C$2+C$3)/10)+10^(C$4/10))+C$5</f>
        <v>#NUM!</v>
      </c>
      <c r="D10" s="32" t="e">
        <f>10*LOG(10^((Energy_label!E$6-datablad!F7*IF(AND(Energy_label!$H$12&gt;-10,Energy_label!$H$12&lt;30),1,340/Energy_label!$Q$17)-D$2+D$3)/10)+10^(D$4/10))+D$5</f>
        <v>#NUM!</v>
      </c>
      <c r="E10" s="32" t="e">
        <f>10*LOG(10^((Energy_label!F$6-datablad!G7*IF(AND(Energy_label!$H$12&gt;-10,Energy_label!$H$12&lt;30),1,340/Energy_label!$Q$17)-E$2+E$3)/10)+10^(E$4/10))+E$5</f>
        <v>#NUM!</v>
      </c>
      <c r="F10" s="32" t="e">
        <f>10*LOG(10^((Energy_label!G$6-datablad!H7*IF(AND(Energy_label!$H$12&gt;-10,Energy_label!$H$12&lt;30),1,340/Energy_label!$Q$17)-F$2+F$3)/10)+10^(F$4/10))+F$5</f>
        <v>#NUM!</v>
      </c>
      <c r="G10" s="32" t="e">
        <f>10*LOG(10^((Energy_label!H$6-datablad!I7*IF(AND(Energy_label!$H$12&gt;-10,Energy_label!$H$12&lt;30),1,340/Energy_label!$Q$17)-G$2+G$3)/10)+10^(G$4/10))+G$5</f>
        <v>#NUM!</v>
      </c>
      <c r="H10" s="32" t="e">
        <f>10*LOG(10^((Energy_label!I$6-datablad!J7*IF(AND(Energy_label!$H$12&gt;-10,Energy_label!$H$12&lt;30),1,340/Energy_label!$Q$17)-H$2+H$3)/10)+10^(H$4/10))+H$5</f>
        <v>#NUM!</v>
      </c>
      <c r="I10" s="32" t="e">
        <f>10*LOG(10^((Energy_label!J$6-datablad!K7*IF(AND(Energy_label!$H$12&gt;-10,Energy_label!$H$12&lt;30),1,340/Energy_label!$Q$17)-I$2+I$3)/10)+10^(I$4/10))+I$5</f>
        <v>#NUM!</v>
      </c>
      <c r="J10" s="32" t="e">
        <f>10*LOG(10^((Energy_label!K$6-datablad!L7*IF(AND(Energy_label!$H$12&gt;-10,Energy_label!$H$12&lt;30),1,340/Energy_label!$Q$17)-J$2+J$3)/10)+10^(J$4/10))+J$5</f>
        <v>#NUM!</v>
      </c>
      <c r="K10" s="32" t="e">
        <f>10*LOG(10^((Energy_label!L$6-datablad!M7*IF(AND(Energy_label!$H$12&gt;-10,Energy_label!$H$12&lt;30),1,340/Energy_label!$Q$17)-K$2+K$3)/10)+10^(K$4/10))+K$5</f>
        <v>#NUM!</v>
      </c>
      <c r="L10" s="32" t="e">
        <f>10*LOG(10^((Energy_label!M$6-datablad!N7*IF(AND(Energy_label!$H$12&gt;-10,Energy_label!$H$12&lt;30),1,340/Energy_label!$Q$17)-L$2+L$3)/10)+10^(L$4/10))+L$5</f>
        <v>#NUM!</v>
      </c>
      <c r="M10" s="34" t="e">
        <f t="shared" si="1"/>
        <v>#NUM!</v>
      </c>
      <c r="N10" s="31" t="e">
        <f>IF(M10&lt;Energy_label!N$8,1,0)</f>
        <v>#NUM!</v>
      </c>
      <c r="O10" s="48" t="e">
        <f>0.5*Energy_label!$N$17*Energy_label!$G$17^2*O$5</f>
        <v>#NUM!</v>
      </c>
      <c r="P10" s="48" t="e">
        <f>0.5*Energy_label!$N$17*Energy_label!$G$17^2*P$5*B10/1000</f>
        <v>#NUM!</v>
      </c>
      <c r="Q10" s="48" t="e">
        <f>0.5*Energy_label!$N$17*Energy_label!$G$17^2*Q$5</f>
        <v>#NUM!</v>
      </c>
      <c r="R10" s="50" t="e">
        <f t="shared" si="2"/>
        <v>#NUM!</v>
      </c>
    </row>
    <row r="11" spans="1:22" x14ac:dyDescent="0.15">
      <c r="B11">
        <v>1750</v>
      </c>
      <c r="C11" s="32" t="e">
        <f>10*LOG(10^((Energy_label!D$6-datablad!E8*IF(AND(Energy_label!$H$12&gt;-10,Energy_label!$H$12&lt;30),1,340/Energy_label!$Q$17)-C$2+C$3)/10)+10^(C$4/10))+C$5</f>
        <v>#NUM!</v>
      </c>
      <c r="D11" s="32" t="e">
        <f>10*LOG(10^((Energy_label!E$6-datablad!F8*IF(AND(Energy_label!$H$12&gt;-10,Energy_label!$H$12&lt;30),1,340/Energy_label!$Q$17)-D$2+D$3)/10)+10^(D$4/10))+D$5</f>
        <v>#NUM!</v>
      </c>
      <c r="E11" s="32" t="e">
        <f>10*LOG(10^((Energy_label!F$6-datablad!G8*IF(AND(Energy_label!$H$12&gt;-10,Energy_label!$H$12&lt;30),1,340/Energy_label!$Q$17)-E$2+E$3)/10)+10^(E$4/10))+E$5</f>
        <v>#NUM!</v>
      </c>
      <c r="F11" s="32" t="e">
        <f>10*LOG(10^((Energy_label!G$6-datablad!H8*IF(AND(Energy_label!$H$12&gt;-10,Energy_label!$H$12&lt;30),1,340/Energy_label!$Q$17)-F$2+F$3)/10)+10^(F$4/10))+F$5</f>
        <v>#NUM!</v>
      </c>
      <c r="G11" s="32" t="e">
        <f>10*LOG(10^((Energy_label!H$6-datablad!I8*IF(AND(Energy_label!$H$12&gt;-10,Energy_label!$H$12&lt;30),1,340/Energy_label!$Q$17)-G$2+G$3)/10)+10^(G$4/10))+G$5</f>
        <v>#NUM!</v>
      </c>
      <c r="H11" s="32" t="e">
        <f>10*LOG(10^((Energy_label!I$6-datablad!J8*IF(AND(Energy_label!$H$12&gt;-10,Energy_label!$H$12&lt;30),1,340/Energy_label!$Q$17)-H$2+H$3)/10)+10^(H$4/10))+H$5</f>
        <v>#NUM!</v>
      </c>
      <c r="I11" s="32" t="e">
        <f>10*LOG(10^((Energy_label!J$6-datablad!K8*IF(AND(Energy_label!$H$12&gt;-10,Energy_label!$H$12&lt;30),1,340/Energy_label!$Q$17)-I$2+I$3)/10)+10^(I$4/10))+I$5</f>
        <v>#NUM!</v>
      </c>
      <c r="J11" s="32" t="e">
        <f>10*LOG(10^((Energy_label!K$6-datablad!L8*IF(AND(Energy_label!$H$12&gt;-10,Energy_label!$H$12&lt;30),1,340/Energy_label!$Q$17)-J$2+J$3)/10)+10^(J$4/10))+J$5</f>
        <v>#NUM!</v>
      </c>
      <c r="K11" s="32" t="e">
        <f>10*LOG(10^((Energy_label!L$6-datablad!M8*IF(AND(Energy_label!$H$12&gt;-10,Energy_label!$H$12&lt;30),1,340/Energy_label!$Q$17)-K$2+K$3)/10)+10^(K$4/10))+K$5</f>
        <v>#NUM!</v>
      </c>
      <c r="L11" s="32" t="e">
        <f>10*LOG(10^((Energy_label!M$6-datablad!N8*IF(AND(Energy_label!$H$12&gt;-10,Energy_label!$H$12&lt;30),1,340/Energy_label!$Q$17)-L$2+L$3)/10)+10^(L$4/10))+L$5</f>
        <v>#NUM!</v>
      </c>
      <c r="M11" s="34" t="e">
        <f t="shared" si="1"/>
        <v>#NUM!</v>
      </c>
      <c r="N11" s="31" t="e">
        <f>IF(M11&lt;Energy_label!N$8,1,0)</f>
        <v>#NUM!</v>
      </c>
      <c r="O11" s="48" t="e">
        <f>0.5*Energy_label!$N$17*Energy_label!$G$17^2*O$5</f>
        <v>#NUM!</v>
      </c>
      <c r="P11" s="48" t="e">
        <f>0.5*Energy_label!$N$17*Energy_label!$G$17^2*P$5*B11/1000</f>
        <v>#NUM!</v>
      </c>
      <c r="Q11" s="48" t="e">
        <f>0.5*Energy_label!$N$17*Energy_label!$G$17^2*Q$5</f>
        <v>#NUM!</v>
      </c>
      <c r="R11" s="50" t="e">
        <f t="shared" si="2"/>
        <v>#NUM!</v>
      </c>
    </row>
    <row r="12" spans="1:22" x14ac:dyDescent="0.15">
      <c r="B12">
        <v>2000</v>
      </c>
      <c r="C12" s="32" t="e">
        <f>10*LOG(10^((Energy_label!D$6-datablad!E9*IF(AND(Energy_label!$H$12&gt;-10,Energy_label!$H$12&lt;30),1,340/Energy_label!$Q$17)-C$2+C$3)/10)+10^(C$4/10))+C$5</f>
        <v>#NUM!</v>
      </c>
      <c r="D12" s="32" t="e">
        <f>10*LOG(10^((Energy_label!E$6-datablad!F9*IF(AND(Energy_label!$H$12&gt;-10,Energy_label!$H$12&lt;30),1,340/Energy_label!$Q$17)-D$2+D$3)/10)+10^(D$4/10))+D$5</f>
        <v>#NUM!</v>
      </c>
      <c r="E12" s="32" t="e">
        <f>10*LOG(10^((Energy_label!F$6-datablad!G9*IF(AND(Energy_label!$H$12&gt;-10,Energy_label!$H$12&lt;30),1,340/Energy_label!$Q$17)-E$2+E$3)/10)+10^(E$4/10))+E$5</f>
        <v>#NUM!</v>
      </c>
      <c r="F12" s="32" t="e">
        <f>10*LOG(10^((Energy_label!G$6-datablad!H9*IF(AND(Energy_label!$H$12&gt;-10,Energy_label!$H$12&lt;30),1,340/Energy_label!$Q$17)-F$2+F$3)/10)+10^(F$4/10))+F$5</f>
        <v>#NUM!</v>
      </c>
      <c r="G12" s="32" t="e">
        <f>10*LOG(10^((Energy_label!H$6-datablad!I9*IF(AND(Energy_label!$H$12&gt;-10,Energy_label!$H$12&lt;30),1,340/Energy_label!$Q$17)-G$2+G$3)/10)+10^(G$4/10))+G$5</f>
        <v>#NUM!</v>
      </c>
      <c r="H12" s="32" t="e">
        <f>10*LOG(10^((Energy_label!I$6-datablad!J9*IF(AND(Energy_label!$H$12&gt;-10,Energy_label!$H$12&lt;30),1,340/Energy_label!$Q$17)-H$2+H$3)/10)+10^(H$4/10))+H$5</f>
        <v>#NUM!</v>
      </c>
      <c r="I12" s="32" t="e">
        <f>10*LOG(10^((Energy_label!J$6-datablad!K9*IF(AND(Energy_label!$H$12&gt;-10,Energy_label!$H$12&lt;30),1,340/Energy_label!$Q$17)-I$2+I$3)/10)+10^(I$4/10))+I$5</f>
        <v>#NUM!</v>
      </c>
      <c r="J12" s="32" t="e">
        <f>10*LOG(10^((Energy_label!K$6-datablad!L9*IF(AND(Energy_label!$H$12&gt;-10,Energy_label!$H$12&lt;30),1,340/Energy_label!$Q$17)-J$2+J$3)/10)+10^(J$4/10))+J$5</f>
        <v>#NUM!</v>
      </c>
      <c r="K12" s="32" t="e">
        <f>10*LOG(10^((Energy_label!L$6-datablad!M9*IF(AND(Energy_label!$H$12&gt;-10,Energy_label!$H$12&lt;30),1,340/Energy_label!$Q$17)-K$2+K$3)/10)+10^(K$4/10))+K$5</f>
        <v>#NUM!</v>
      </c>
      <c r="L12" s="32" t="e">
        <f>10*LOG(10^((Energy_label!M$6-datablad!N9*IF(AND(Energy_label!$H$12&gt;-10,Energy_label!$H$12&lt;30),1,340/Energy_label!$Q$17)-L$2+L$3)/10)+10^(L$4/10))+L$5</f>
        <v>#NUM!</v>
      </c>
      <c r="M12" s="34" t="e">
        <f t="shared" si="1"/>
        <v>#NUM!</v>
      </c>
      <c r="N12" s="31" t="e">
        <f>IF(M12&lt;Energy_label!N$8,1,0)</f>
        <v>#NUM!</v>
      </c>
      <c r="O12" s="48" t="e">
        <f>0.5*Energy_label!$N$17*Energy_label!$G$17^2*O$5</f>
        <v>#NUM!</v>
      </c>
      <c r="P12" s="48" t="e">
        <f>0.5*Energy_label!$N$17*Energy_label!$G$17^2*P$5*B12/1000</f>
        <v>#NUM!</v>
      </c>
      <c r="Q12" s="48" t="e">
        <f>0.5*Energy_label!$N$17*Energy_label!$G$17^2*Q$5</f>
        <v>#NUM!</v>
      </c>
      <c r="R12" s="50" t="e">
        <f t="shared" si="2"/>
        <v>#NUM!</v>
      </c>
    </row>
    <row r="13" spans="1:22" x14ac:dyDescent="0.15">
      <c r="B13">
        <v>2250</v>
      </c>
      <c r="C13" s="32" t="e">
        <f>10*LOG(10^((Energy_label!D$6-datablad!E10*IF(AND(Energy_label!$H$12&gt;-10,Energy_label!$H$12&lt;30),1,340/Energy_label!$Q$17)-C$2+C$3)/10)+10^(C$4/10))+C$5</f>
        <v>#NUM!</v>
      </c>
      <c r="D13" s="32" t="e">
        <f>10*LOG(10^((Energy_label!E$6-datablad!F10*IF(AND(Energy_label!$H$12&gt;-10,Energy_label!$H$12&lt;30),1,340/Energy_label!$Q$17)-D$2+D$3)/10)+10^(D$4/10))+D$5</f>
        <v>#NUM!</v>
      </c>
      <c r="E13" s="32" t="e">
        <f>10*LOG(10^((Energy_label!F$6-datablad!G10*IF(AND(Energy_label!$H$12&gt;-10,Energy_label!$H$12&lt;30),1,340/Energy_label!$Q$17)-E$2+E$3)/10)+10^(E$4/10))+E$5</f>
        <v>#NUM!</v>
      </c>
      <c r="F13" s="32" t="e">
        <f>10*LOG(10^((Energy_label!G$6-datablad!H10*IF(AND(Energy_label!$H$12&gt;-10,Energy_label!$H$12&lt;30),1,340/Energy_label!$Q$17)-F$2+F$3)/10)+10^(F$4/10))+F$5</f>
        <v>#NUM!</v>
      </c>
      <c r="G13" s="32" t="e">
        <f>10*LOG(10^((Energy_label!H$6-datablad!I10*IF(AND(Energy_label!$H$12&gt;-10,Energy_label!$H$12&lt;30),1,340/Energy_label!$Q$17)-G$2+G$3)/10)+10^(G$4/10))+G$5</f>
        <v>#NUM!</v>
      </c>
      <c r="H13" s="32" t="e">
        <f>10*LOG(10^((Energy_label!I$6-datablad!J10*IF(AND(Energy_label!$H$12&gt;-10,Energy_label!$H$12&lt;30),1,340/Energy_label!$Q$17)-H$2+H$3)/10)+10^(H$4/10))+H$5</f>
        <v>#NUM!</v>
      </c>
      <c r="I13" s="32" t="e">
        <f>10*LOG(10^((Energy_label!J$6-datablad!K10*IF(AND(Energy_label!$H$12&gt;-10,Energy_label!$H$12&lt;30),1,340/Energy_label!$Q$17)-I$2+I$3)/10)+10^(I$4/10))+I$5</f>
        <v>#NUM!</v>
      </c>
      <c r="J13" s="32" t="e">
        <f>10*LOG(10^((Energy_label!K$6-datablad!L10*IF(AND(Energy_label!$H$12&gt;-10,Energy_label!$H$12&lt;30),1,340/Energy_label!$Q$17)-J$2+J$3)/10)+10^(J$4/10))+J$5</f>
        <v>#NUM!</v>
      </c>
      <c r="K13" s="32" t="e">
        <f>10*LOG(10^((Energy_label!L$6-datablad!M10*IF(AND(Energy_label!$H$12&gt;-10,Energy_label!$H$12&lt;30),1,340/Energy_label!$Q$17)-K$2+K$3)/10)+10^(K$4/10))+K$5</f>
        <v>#NUM!</v>
      </c>
      <c r="L13" s="32" t="e">
        <f>10*LOG(10^((Energy_label!M$6-datablad!N10*IF(AND(Energy_label!$H$12&gt;-10,Energy_label!$H$12&lt;30),1,340/Energy_label!$Q$17)-L$2+L$3)/10)+10^(L$4/10))+L$5</f>
        <v>#NUM!</v>
      </c>
      <c r="M13" s="34" t="e">
        <f t="shared" si="1"/>
        <v>#NUM!</v>
      </c>
      <c r="N13" s="31" t="e">
        <f>IF(M13&lt;Energy_label!N$8,1,0)</f>
        <v>#NUM!</v>
      </c>
      <c r="O13" s="48" t="e">
        <f>0.5*Energy_label!$N$17*Energy_label!$G$17^2*O$5</f>
        <v>#NUM!</v>
      </c>
      <c r="P13" s="48" t="e">
        <f>0.5*Energy_label!$N$17*Energy_label!$G$17^2*P$5*B13/1000</f>
        <v>#NUM!</v>
      </c>
      <c r="Q13" s="48" t="e">
        <f>0.5*Energy_label!$N$17*Energy_label!$G$17^2*Q$5</f>
        <v>#NUM!</v>
      </c>
      <c r="R13" s="50" t="e">
        <f t="shared" si="2"/>
        <v>#NUM!</v>
      </c>
    </row>
    <row r="14" spans="1:22" x14ac:dyDescent="0.15">
      <c r="B14">
        <v>2500</v>
      </c>
      <c r="C14" s="32" t="e">
        <f>10*LOG(10^((Energy_label!D$6-datablad!E11*IF(AND(Energy_label!$H$12&gt;-10,Energy_label!$H$12&lt;30),1,340/Energy_label!$Q$17)-C$2+C$3)/10)+10^(C$4/10))+C$5</f>
        <v>#NUM!</v>
      </c>
      <c r="D14" s="32" t="e">
        <f>10*LOG(10^((Energy_label!E$6-datablad!F11*IF(AND(Energy_label!$H$12&gt;-10,Energy_label!$H$12&lt;30),1,340/Energy_label!$Q$17)-D$2+D$3)/10)+10^(D$4/10))+D$5</f>
        <v>#NUM!</v>
      </c>
      <c r="E14" s="32" t="e">
        <f>10*LOG(10^((Energy_label!F$6-datablad!G11*IF(AND(Energy_label!$H$12&gt;-10,Energy_label!$H$12&lt;30),1,340/Energy_label!$Q$17)-E$2+E$3)/10)+10^(E$4/10))+E$5</f>
        <v>#NUM!</v>
      </c>
      <c r="F14" s="32" t="e">
        <f>10*LOG(10^((Energy_label!G$6-datablad!H11*IF(AND(Energy_label!$H$12&gt;-10,Energy_label!$H$12&lt;30),1,340/Energy_label!$Q$17)-F$2+F$3)/10)+10^(F$4/10))+F$5</f>
        <v>#NUM!</v>
      </c>
      <c r="G14" s="32" t="e">
        <f>10*LOG(10^((Energy_label!H$6-datablad!I11*IF(AND(Energy_label!$H$12&gt;-10,Energy_label!$H$12&lt;30),1,340/Energy_label!$Q$17)-G$2+G$3)/10)+10^(G$4/10))+G$5</f>
        <v>#NUM!</v>
      </c>
      <c r="H14" s="32" t="e">
        <f>10*LOG(10^((Energy_label!I$6-datablad!J11*IF(AND(Energy_label!$H$12&gt;-10,Energy_label!$H$12&lt;30),1,340/Energy_label!$Q$17)-H$2+H$3)/10)+10^(H$4/10))+H$5</f>
        <v>#NUM!</v>
      </c>
      <c r="I14" s="32" t="e">
        <f>10*LOG(10^((Energy_label!J$6-datablad!K11*IF(AND(Energy_label!$H$12&gt;-10,Energy_label!$H$12&lt;30),1,340/Energy_label!$Q$17)-I$2+I$3)/10)+10^(I$4/10))+I$5</f>
        <v>#NUM!</v>
      </c>
      <c r="J14" s="32" t="e">
        <f>10*LOG(10^((Energy_label!K$6-datablad!L11*IF(AND(Energy_label!$H$12&gt;-10,Energy_label!$H$12&lt;30),1,340/Energy_label!$Q$17)-J$2+J$3)/10)+10^(J$4/10))+J$5</f>
        <v>#NUM!</v>
      </c>
      <c r="K14" s="32" t="e">
        <f>10*LOG(10^((Energy_label!L$6-datablad!M11*IF(AND(Energy_label!$H$12&gt;-10,Energy_label!$H$12&lt;30),1,340/Energy_label!$Q$17)-K$2+K$3)/10)+10^(K$4/10))+K$5</f>
        <v>#NUM!</v>
      </c>
      <c r="L14" s="32" t="e">
        <f>10*LOG(10^((Energy_label!M$6-datablad!N11*IF(AND(Energy_label!$H$12&gt;-10,Energy_label!$H$12&lt;30),1,340/Energy_label!$Q$17)-L$2+L$3)/10)+10^(L$4/10))+L$5</f>
        <v>#NUM!</v>
      </c>
      <c r="M14" s="34" t="e">
        <f t="shared" si="1"/>
        <v>#NUM!</v>
      </c>
      <c r="N14" s="31" t="e">
        <f>IF(M14&lt;Energy_label!N$8,1,0)</f>
        <v>#NUM!</v>
      </c>
      <c r="O14" s="48" t="e">
        <f>0.5*Energy_label!$N$17*Energy_label!$G$17^2*O$5</f>
        <v>#NUM!</v>
      </c>
      <c r="P14" s="48" t="e">
        <f>0.5*Energy_label!$N$17*Energy_label!$G$17^2*P$5*B14/1000</f>
        <v>#NUM!</v>
      </c>
      <c r="Q14" s="48" t="e">
        <f>0.5*Energy_label!$N$17*Energy_label!$G$17^2*Q$5</f>
        <v>#NUM!</v>
      </c>
      <c r="R14" s="50" t="e">
        <f t="shared" si="2"/>
        <v>#NUM!</v>
      </c>
    </row>
    <row r="15" spans="1:22" x14ac:dyDescent="0.15">
      <c r="B15">
        <v>2750</v>
      </c>
      <c r="C15" s="32" t="e">
        <f>10*LOG(10^((Energy_label!D$6-datablad!E12*IF(AND(Energy_label!$H$12&gt;-10,Energy_label!$H$12&lt;30),1,340/Energy_label!$Q$17)-C$2+C$3)/10)+10^(C$4/10))+C$5</f>
        <v>#NUM!</v>
      </c>
      <c r="D15" s="32" t="e">
        <f>10*LOG(10^((Energy_label!E$6-datablad!F12*IF(AND(Energy_label!$H$12&gt;-10,Energy_label!$H$12&lt;30),1,340/Energy_label!$Q$17)-D$2+D$3)/10)+10^(D$4/10))+D$5</f>
        <v>#NUM!</v>
      </c>
      <c r="E15" s="32" t="e">
        <f>10*LOG(10^((Energy_label!F$6-datablad!G12*IF(AND(Energy_label!$H$12&gt;-10,Energy_label!$H$12&lt;30),1,340/Energy_label!$Q$17)-E$2+E$3)/10)+10^(E$4/10))+E$5</f>
        <v>#NUM!</v>
      </c>
      <c r="F15" s="32" t="e">
        <f>10*LOG(10^((Energy_label!G$6-datablad!H12*IF(AND(Energy_label!$H$12&gt;-10,Energy_label!$H$12&lt;30),1,340/Energy_label!$Q$17)-F$2+F$3)/10)+10^(F$4/10))+F$5</f>
        <v>#NUM!</v>
      </c>
      <c r="G15" s="32" t="e">
        <f>10*LOG(10^((Energy_label!H$6-datablad!I12*IF(AND(Energy_label!$H$12&gt;-10,Energy_label!$H$12&lt;30),1,340/Energy_label!$Q$17)-G$2+G$3)/10)+10^(G$4/10))+G$5</f>
        <v>#NUM!</v>
      </c>
      <c r="H15" s="32" t="e">
        <f>10*LOG(10^((Energy_label!I$6-datablad!J12*IF(AND(Energy_label!$H$12&gt;-10,Energy_label!$H$12&lt;30),1,340/Energy_label!$Q$17)-H$2+H$3)/10)+10^(H$4/10))+H$5</f>
        <v>#NUM!</v>
      </c>
      <c r="I15" s="32" t="e">
        <f>10*LOG(10^((Energy_label!J$6-datablad!K12*IF(AND(Energy_label!$H$12&gt;-10,Energy_label!$H$12&lt;30),1,340/Energy_label!$Q$17)-I$2+I$3)/10)+10^(I$4/10))+I$5</f>
        <v>#NUM!</v>
      </c>
      <c r="J15" s="32" t="e">
        <f>10*LOG(10^((Energy_label!K$6-datablad!L12*IF(AND(Energy_label!$H$12&gt;-10,Energy_label!$H$12&lt;30),1,340/Energy_label!$Q$17)-J$2+J$3)/10)+10^(J$4/10))+J$5</f>
        <v>#NUM!</v>
      </c>
      <c r="K15" s="32" t="e">
        <f>10*LOG(10^((Energy_label!L$6-datablad!M12*IF(AND(Energy_label!$H$12&gt;-10,Energy_label!$H$12&lt;30),1,340/Energy_label!$Q$17)-K$2+K$3)/10)+10^(K$4/10))+K$5</f>
        <v>#NUM!</v>
      </c>
      <c r="L15" s="32" t="e">
        <f>10*LOG(10^((Energy_label!M$6-datablad!N12*IF(AND(Energy_label!$H$12&gt;-10,Energy_label!$H$12&lt;30),1,340/Energy_label!$Q$17)-L$2+L$3)/10)+10^(L$4/10))+L$5</f>
        <v>#NUM!</v>
      </c>
      <c r="M15" s="34" t="e">
        <f t="shared" si="1"/>
        <v>#NUM!</v>
      </c>
      <c r="N15" s="31" t="e">
        <f>IF(M15&lt;Energy_label!N$8,1,0)</f>
        <v>#NUM!</v>
      </c>
      <c r="O15" s="48" t="e">
        <f>0.5*Energy_label!$N$17*Energy_label!$G$17^2*O$5</f>
        <v>#NUM!</v>
      </c>
      <c r="P15" s="48" t="e">
        <f>0.5*Energy_label!$N$17*Energy_label!$G$17^2*P$5*B15/1000</f>
        <v>#NUM!</v>
      </c>
      <c r="Q15" s="48" t="e">
        <f>0.5*Energy_label!$N$17*Energy_label!$G$17^2*Q$5</f>
        <v>#NUM!</v>
      </c>
      <c r="R15" s="50" t="e">
        <f t="shared" si="2"/>
        <v>#NUM!</v>
      </c>
    </row>
    <row r="16" spans="1:22" x14ac:dyDescent="0.15">
      <c r="B16">
        <v>3000</v>
      </c>
      <c r="C16" s="32" t="e">
        <f>10*LOG(10^((Energy_label!D$6-datablad!E13*IF(AND(Energy_label!$H$12&gt;-10,Energy_label!$H$12&lt;30),1,340/Energy_label!$Q$17)-C$2+C$3)/10)+10^(C$4/10))+C$5</f>
        <v>#NUM!</v>
      </c>
      <c r="D16" s="32" t="e">
        <f>10*LOG(10^((Energy_label!E$6-datablad!F13*IF(AND(Energy_label!$H$12&gt;-10,Energy_label!$H$12&lt;30),1,340/Energy_label!$Q$17)-D$2+D$3)/10)+10^(D$4/10))+D$5</f>
        <v>#NUM!</v>
      </c>
      <c r="E16" s="32" t="e">
        <f>10*LOG(10^((Energy_label!F$6-datablad!G13*IF(AND(Energy_label!$H$12&gt;-10,Energy_label!$H$12&lt;30),1,340/Energy_label!$Q$17)-E$2+E$3)/10)+10^(E$4/10))+E$5</f>
        <v>#NUM!</v>
      </c>
      <c r="F16" s="32" t="e">
        <f>10*LOG(10^((Energy_label!G$6-datablad!H13*IF(AND(Energy_label!$H$12&gt;-10,Energy_label!$H$12&lt;30),1,340/Energy_label!$Q$17)-F$2+F$3)/10)+10^(F$4/10))+F$5</f>
        <v>#NUM!</v>
      </c>
      <c r="G16" s="32" t="e">
        <f>10*LOG(10^((Energy_label!H$6-datablad!I13*IF(AND(Energy_label!$H$12&gt;-10,Energy_label!$H$12&lt;30),1,340/Energy_label!$Q$17)-G$2+G$3)/10)+10^(G$4/10))+G$5</f>
        <v>#NUM!</v>
      </c>
      <c r="H16" s="32" t="e">
        <f>10*LOG(10^((Energy_label!I$6-datablad!J13*IF(AND(Energy_label!$H$12&gt;-10,Energy_label!$H$12&lt;30),1,340/Energy_label!$Q$17)-H$2+H$3)/10)+10^(H$4/10))+H$5</f>
        <v>#NUM!</v>
      </c>
      <c r="I16" s="32" t="e">
        <f>10*LOG(10^((Energy_label!J$6-datablad!K13*IF(AND(Energy_label!$H$12&gt;-10,Energy_label!$H$12&lt;30),1,340/Energy_label!$Q$17)-I$2+I$3)/10)+10^(I$4/10))+I$5</f>
        <v>#NUM!</v>
      </c>
      <c r="J16" s="32" t="e">
        <f>10*LOG(10^((Energy_label!K$6-datablad!L13*IF(AND(Energy_label!$H$12&gt;-10,Energy_label!$H$12&lt;30),1,340/Energy_label!$Q$17)-J$2+J$3)/10)+10^(J$4/10))+J$5</f>
        <v>#NUM!</v>
      </c>
      <c r="K16" s="32" t="e">
        <f>10*LOG(10^((Energy_label!L$6-datablad!M13*IF(AND(Energy_label!$H$12&gt;-10,Energy_label!$H$12&lt;30),1,340/Energy_label!$Q$17)-K$2+K$3)/10)+10^(K$4/10))+K$5</f>
        <v>#NUM!</v>
      </c>
      <c r="L16" s="32" t="e">
        <f>10*LOG(10^((Energy_label!M$6-datablad!N13*IF(AND(Energy_label!$H$12&gt;-10,Energy_label!$H$12&lt;30),1,340/Energy_label!$Q$17)-L$2+L$3)/10)+10^(L$4/10))+L$5</f>
        <v>#NUM!</v>
      </c>
      <c r="M16" s="34" t="e">
        <f t="shared" si="1"/>
        <v>#NUM!</v>
      </c>
      <c r="N16" s="31" t="e">
        <f>IF(M16&lt;Energy_label!N$8,1,0)</f>
        <v>#NUM!</v>
      </c>
      <c r="O16" s="48" t="e">
        <f>0.5*Energy_label!$N$17*Energy_label!$G$17^2*O$5</f>
        <v>#NUM!</v>
      </c>
      <c r="P16" s="48" t="e">
        <f>0.5*Energy_label!$N$17*Energy_label!$G$17^2*P$5*B16/1000</f>
        <v>#NUM!</v>
      </c>
      <c r="Q16" s="48" t="e">
        <f>0.5*Energy_label!$N$17*Energy_label!$G$17^2*Q$5</f>
        <v>#NUM!</v>
      </c>
      <c r="R16" s="50" t="e">
        <f t="shared" si="2"/>
        <v>#NUM!</v>
      </c>
    </row>
    <row r="17" spans="1:28" x14ac:dyDescent="0.15">
      <c r="B17">
        <v>3250</v>
      </c>
      <c r="C17" s="32" t="e">
        <f>10*LOG(10^((Energy_label!D$6-datablad!E14*IF(AND(Energy_label!$H$12&gt;-10,Energy_label!$H$12&lt;30),1,340/Energy_label!$Q$17)-C$2+C$3)/10)+10^(C$4/10))+C$5</f>
        <v>#NUM!</v>
      </c>
      <c r="D17" s="32" t="e">
        <f>10*LOG(10^((Energy_label!E$6-datablad!F14*IF(AND(Energy_label!$H$12&gt;-10,Energy_label!$H$12&lt;30),1,340/Energy_label!$Q$17)-D$2+D$3)/10)+10^(D$4/10))+D$5</f>
        <v>#NUM!</v>
      </c>
      <c r="E17" s="32" t="e">
        <f>10*LOG(10^((Energy_label!F$6-datablad!G14*IF(AND(Energy_label!$H$12&gt;-10,Energy_label!$H$12&lt;30),1,340/Energy_label!$Q$17)-E$2+E$3)/10)+10^(E$4/10))+E$5</f>
        <v>#NUM!</v>
      </c>
      <c r="F17" s="32" t="e">
        <f>10*LOG(10^((Energy_label!G$6-datablad!H14*IF(AND(Energy_label!$H$12&gt;-10,Energy_label!$H$12&lt;30),1,340/Energy_label!$Q$17)-F$2+F$3)/10)+10^(F$4/10))+F$5</f>
        <v>#NUM!</v>
      </c>
      <c r="G17" s="32" t="e">
        <f>10*LOG(10^((Energy_label!H$6-datablad!I14*IF(AND(Energy_label!$H$12&gt;-10,Energy_label!$H$12&lt;30),1,340/Energy_label!$Q$17)-G$2+G$3)/10)+10^(G$4/10))+G$5</f>
        <v>#NUM!</v>
      </c>
      <c r="H17" s="32" t="e">
        <f>10*LOG(10^((Energy_label!I$6-datablad!J14*IF(AND(Energy_label!$H$12&gt;-10,Energy_label!$H$12&lt;30),1,340/Energy_label!$Q$17)-H$2+H$3)/10)+10^(H$4/10))+H$5</f>
        <v>#NUM!</v>
      </c>
      <c r="I17" s="32" t="e">
        <f>10*LOG(10^((Energy_label!J$6-datablad!K14*IF(AND(Energy_label!$H$12&gt;-10,Energy_label!$H$12&lt;30),1,340/Energy_label!$Q$17)-I$2+I$3)/10)+10^(I$4/10))+I$5</f>
        <v>#NUM!</v>
      </c>
      <c r="J17" s="32" t="e">
        <f>10*LOG(10^((Energy_label!K$6-datablad!L14*IF(AND(Energy_label!$H$12&gt;-10,Energy_label!$H$12&lt;30),1,340/Energy_label!$Q$17)-J$2+J$3)/10)+10^(J$4/10))+J$5</f>
        <v>#NUM!</v>
      </c>
      <c r="K17" s="32" t="e">
        <f>10*LOG(10^((Energy_label!L$6-datablad!M14*IF(AND(Energy_label!$H$12&gt;-10,Energy_label!$H$12&lt;30),1,340/Energy_label!$Q$17)-K$2+K$3)/10)+10^(K$4/10))+K$5</f>
        <v>#NUM!</v>
      </c>
      <c r="L17" s="32" t="e">
        <f>10*LOG(10^((Energy_label!M$6-datablad!N14*IF(AND(Energy_label!$H$12&gt;-10,Energy_label!$H$12&lt;30),1,340/Energy_label!$Q$17)-L$2+L$3)/10)+10^(L$4/10))+L$5</f>
        <v>#NUM!</v>
      </c>
      <c r="M17" s="34" t="e">
        <f t="shared" si="1"/>
        <v>#NUM!</v>
      </c>
      <c r="N17" s="31" t="e">
        <f>IF(M17&lt;Energy_label!N$8,1,0)</f>
        <v>#NUM!</v>
      </c>
      <c r="O17" s="48" t="e">
        <f>0.5*Energy_label!$N$17*Energy_label!$G$17^2*O$5</f>
        <v>#NUM!</v>
      </c>
      <c r="P17" s="48" t="e">
        <f>0.5*Energy_label!$N$17*Energy_label!$G$17^2*P$5*B17/1000</f>
        <v>#NUM!</v>
      </c>
      <c r="Q17" s="48" t="e">
        <f>0.5*Energy_label!$N$17*Energy_label!$G$17^2*Q$5</f>
        <v>#NUM!</v>
      </c>
      <c r="R17" s="50" t="e">
        <f t="shared" si="2"/>
        <v>#NUM!</v>
      </c>
    </row>
    <row r="18" spans="1:28" x14ac:dyDescent="0.15">
      <c r="B18">
        <v>3500</v>
      </c>
      <c r="C18" s="32" t="e">
        <f>10*LOG(10^((Energy_label!D$6-datablad!E15*IF(AND(Energy_label!$H$12&gt;-10,Energy_label!$H$12&lt;30),1,340/Energy_label!$Q$17)-C$2+C$3)/10)+10^(C$4/10))+C$5</f>
        <v>#NUM!</v>
      </c>
      <c r="D18" s="32" t="e">
        <f>10*LOG(10^((Energy_label!E$6-datablad!F15*IF(AND(Energy_label!$H$12&gt;-10,Energy_label!$H$12&lt;30),1,340/Energy_label!$Q$17)-D$2+D$3)/10)+10^(D$4/10))+D$5</f>
        <v>#NUM!</v>
      </c>
      <c r="E18" s="32" t="e">
        <f>10*LOG(10^((Energy_label!F$6-datablad!G15*IF(AND(Energy_label!$H$12&gt;-10,Energy_label!$H$12&lt;30),1,340/Energy_label!$Q$17)-E$2+E$3)/10)+10^(E$4/10))+E$5</f>
        <v>#NUM!</v>
      </c>
      <c r="F18" s="32" t="e">
        <f>10*LOG(10^((Energy_label!G$6-datablad!H15*IF(AND(Energy_label!$H$12&gt;-10,Energy_label!$H$12&lt;30),1,340/Energy_label!$Q$17)-F$2+F$3)/10)+10^(F$4/10))+F$5</f>
        <v>#NUM!</v>
      </c>
      <c r="G18" s="32" t="e">
        <f>10*LOG(10^((Energy_label!H$6-datablad!I15*IF(AND(Energy_label!$H$12&gt;-10,Energy_label!$H$12&lt;30),1,340/Energy_label!$Q$17)-G$2+G$3)/10)+10^(G$4/10))+G$5</f>
        <v>#NUM!</v>
      </c>
      <c r="H18" s="32" t="e">
        <f>10*LOG(10^((Energy_label!I$6-datablad!J15*IF(AND(Energy_label!$H$12&gt;-10,Energy_label!$H$12&lt;30),1,340/Energy_label!$Q$17)-H$2+H$3)/10)+10^(H$4/10))+H$5</f>
        <v>#NUM!</v>
      </c>
      <c r="I18" s="32" t="e">
        <f>10*LOG(10^((Energy_label!J$6-datablad!K15*IF(AND(Energy_label!$H$12&gt;-10,Energy_label!$H$12&lt;30),1,340/Energy_label!$Q$17)-I$2+I$3)/10)+10^(I$4/10))+I$5</f>
        <v>#NUM!</v>
      </c>
      <c r="J18" s="32" t="e">
        <f>10*LOG(10^((Energy_label!K$6-datablad!L15*IF(AND(Energy_label!$H$12&gt;-10,Energy_label!$H$12&lt;30),1,340/Energy_label!$Q$17)-J$2+J$3)/10)+10^(J$4/10))+J$5</f>
        <v>#NUM!</v>
      </c>
      <c r="K18" s="32" t="e">
        <f>10*LOG(10^((Energy_label!L$6-datablad!M15*IF(AND(Energy_label!$H$12&gt;-10,Energy_label!$H$12&lt;30),1,340/Energy_label!$Q$17)-K$2+K$3)/10)+10^(K$4/10))+K$5</f>
        <v>#NUM!</v>
      </c>
      <c r="L18" s="32" t="e">
        <f>10*LOG(10^((Energy_label!M$6-datablad!N15*IF(AND(Energy_label!$H$12&gt;-10,Energy_label!$H$12&lt;30),1,340/Energy_label!$Q$17)-L$2+L$3)/10)+10^(L$4/10))+L$5</f>
        <v>#NUM!</v>
      </c>
      <c r="M18" s="34" t="e">
        <f t="shared" si="1"/>
        <v>#NUM!</v>
      </c>
      <c r="N18" s="31" t="e">
        <f>IF(M18&lt;Energy_label!N$8,1,0)</f>
        <v>#NUM!</v>
      </c>
      <c r="O18" s="48" t="e">
        <f>0.5*Energy_label!$N$17*Energy_label!$G$17^2*O$5</f>
        <v>#NUM!</v>
      </c>
      <c r="P18" s="48" t="e">
        <f>0.5*Energy_label!$N$17*Energy_label!$G$17^2*P$5*B18/1000</f>
        <v>#NUM!</v>
      </c>
      <c r="Q18" s="48" t="e">
        <f>0.5*Energy_label!$N$17*Energy_label!$G$17^2*Q$5</f>
        <v>#NUM!</v>
      </c>
      <c r="R18" s="50" t="e">
        <f t="shared" si="2"/>
        <v>#NUM!</v>
      </c>
    </row>
    <row r="19" spans="1:28" x14ac:dyDescent="0.15">
      <c r="B19">
        <v>3750</v>
      </c>
      <c r="C19" s="32" t="e">
        <f>10*LOG(10^((Energy_label!D$6-datablad!E16*IF(AND(Energy_label!$H$12&gt;-10,Energy_label!$H$12&lt;30),1,340/Energy_label!$Q$17)-C$2+C$3)/10)+10^(C$4/10))+C$5</f>
        <v>#NUM!</v>
      </c>
      <c r="D19" s="32" t="e">
        <f>10*LOG(10^((Energy_label!E$6-datablad!F16*IF(AND(Energy_label!$H$12&gt;-10,Energy_label!$H$12&lt;30),1,340/Energy_label!$Q$17)-D$2+D$3)/10)+10^(D$4/10))+D$5</f>
        <v>#NUM!</v>
      </c>
      <c r="E19" s="32" t="e">
        <f>10*LOG(10^((Energy_label!F$6-datablad!G16*IF(AND(Energy_label!$H$12&gt;-10,Energy_label!$H$12&lt;30),1,340/Energy_label!$Q$17)-E$2+E$3)/10)+10^(E$4/10))+E$5</f>
        <v>#NUM!</v>
      </c>
      <c r="F19" s="32" t="e">
        <f>10*LOG(10^((Energy_label!G$6-datablad!H16*IF(AND(Energy_label!$H$12&gt;-10,Energy_label!$H$12&lt;30),1,340/Energy_label!$Q$17)-F$2+F$3)/10)+10^(F$4/10))+F$5</f>
        <v>#NUM!</v>
      </c>
      <c r="G19" s="32" t="e">
        <f>10*LOG(10^((Energy_label!H$6-datablad!I16*IF(AND(Energy_label!$H$12&gt;-10,Energy_label!$H$12&lt;30),1,340/Energy_label!$Q$17)-G$2+G$3)/10)+10^(G$4/10))+G$5</f>
        <v>#NUM!</v>
      </c>
      <c r="H19" s="32" t="e">
        <f>10*LOG(10^((Energy_label!I$6-datablad!J16*IF(AND(Energy_label!$H$12&gt;-10,Energy_label!$H$12&lt;30),1,340/Energy_label!$Q$17)-H$2+H$3)/10)+10^(H$4/10))+H$5</f>
        <v>#NUM!</v>
      </c>
      <c r="I19" s="32" t="e">
        <f>10*LOG(10^((Energy_label!J$6-datablad!K16*IF(AND(Energy_label!$H$12&gt;-10,Energy_label!$H$12&lt;30),1,340/Energy_label!$Q$17)-I$2+I$3)/10)+10^(I$4/10))+I$5</f>
        <v>#NUM!</v>
      </c>
      <c r="J19" s="32" t="e">
        <f>10*LOG(10^((Energy_label!K$6-datablad!L16*IF(AND(Energy_label!$H$12&gt;-10,Energy_label!$H$12&lt;30),1,340/Energy_label!$Q$17)-J$2+J$3)/10)+10^(J$4/10))+J$5</f>
        <v>#NUM!</v>
      </c>
      <c r="K19" s="32" t="e">
        <f>10*LOG(10^((Energy_label!L$6-datablad!M16*IF(AND(Energy_label!$H$12&gt;-10,Energy_label!$H$12&lt;30),1,340/Energy_label!$Q$17)-K$2+K$3)/10)+10^(K$4/10))+K$5</f>
        <v>#NUM!</v>
      </c>
      <c r="L19" s="32" t="e">
        <f>10*LOG(10^((Energy_label!M$6-datablad!N16*IF(AND(Energy_label!$H$12&gt;-10,Energy_label!$H$12&lt;30),1,340/Energy_label!$Q$17)-L$2+L$3)/10)+10^(L$4/10))+L$5</f>
        <v>#NUM!</v>
      </c>
      <c r="M19" s="34" t="e">
        <f t="shared" si="1"/>
        <v>#NUM!</v>
      </c>
      <c r="N19" s="31" t="e">
        <f>IF(M19&lt;Energy_label!N$8,1,0)</f>
        <v>#NUM!</v>
      </c>
      <c r="O19" s="48" t="e">
        <f>0.5*Energy_label!$N$17*Energy_label!$G$17^2*O$5</f>
        <v>#NUM!</v>
      </c>
      <c r="P19" s="48" t="e">
        <f>0.5*Energy_label!$N$17*Energy_label!$G$17^2*P$5*B19/1000</f>
        <v>#NUM!</v>
      </c>
      <c r="Q19" s="48" t="e">
        <f>0.5*Energy_label!$N$17*Energy_label!$G$17^2*Q$5</f>
        <v>#NUM!</v>
      </c>
      <c r="R19" s="50" t="e">
        <f t="shared" si="2"/>
        <v>#NUM!</v>
      </c>
    </row>
    <row r="20" spans="1:28" x14ac:dyDescent="0.15">
      <c r="B20">
        <v>4000</v>
      </c>
      <c r="C20" s="32" t="e">
        <f>10*LOG(10^((Energy_label!D$6-datablad!E17*IF(AND(Energy_label!$H$12&gt;-10,Energy_label!$H$12&lt;30),1,340/Energy_label!$Q$17)-C$2+C$3)/10)+10^(C$4/10))+C$5</f>
        <v>#NUM!</v>
      </c>
      <c r="D20" s="32" t="e">
        <f>10*LOG(10^((Energy_label!E$6-datablad!F17*IF(AND(Energy_label!$H$12&gt;-10,Energy_label!$H$12&lt;30),1,340/Energy_label!$Q$17)-D$2+D$3)/10)+10^(D$4/10))+D$5</f>
        <v>#NUM!</v>
      </c>
      <c r="E20" s="32" t="e">
        <f>10*LOG(10^((Energy_label!F$6-datablad!G17*IF(AND(Energy_label!$H$12&gt;-10,Energy_label!$H$12&lt;30),1,340/Energy_label!$Q$17)-E$2+E$3)/10)+10^(E$4/10))+E$5</f>
        <v>#NUM!</v>
      </c>
      <c r="F20" s="32" t="e">
        <f>10*LOG(10^((Energy_label!G$6-datablad!H17*IF(AND(Energy_label!$H$12&gt;-10,Energy_label!$H$12&lt;30),1,340/Energy_label!$Q$17)-F$2+F$3)/10)+10^(F$4/10))+F$5</f>
        <v>#NUM!</v>
      </c>
      <c r="G20" s="32" t="e">
        <f>10*LOG(10^((Energy_label!H$6-datablad!I17*IF(AND(Energy_label!$H$12&gt;-10,Energy_label!$H$12&lt;30),1,340/Energy_label!$Q$17)-G$2+G$3)/10)+10^(G$4/10))+G$5</f>
        <v>#NUM!</v>
      </c>
      <c r="H20" s="32" t="e">
        <f>10*LOG(10^((Energy_label!I$6-datablad!J17*IF(AND(Energy_label!$H$12&gt;-10,Energy_label!$H$12&lt;30),1,340/Energy_label!$Q$17)-H$2+H$3)/10)+10^(H$4/10))+H$5</f>
        <v>#NUM!</v>
      </c>
      <c r="I20" s="32" t="e">
        <f>10*LOG(10^((Energy_label!J$6-datablad!K17*IF(AND(Energy_label!$H$12&gt;-10,Energy_label!$H$12&lt;30),1,340/Energy_label!$Q$17)-I$2+I$3)/10)+10^(I$4/10))+I$5</f>
        <v>#NUM!</v>
      </c>
      <c r="J20" s="32" t="e">
        <f>10*LOG(10^((Energy_label!K$6-datablad!L17*IF(AND(Energy_label!$H$12&gt;-10,Energy_label!$H$12&lt;30),1,340/Energy_label!$Q$17)-J$2+J$3)/10)+10^(J$4/10))+J$5</f>
        <v>#NUM!</v>
      </c>
      <c r="K20" s="32" t="e">
        <f>10*LOG(10^((Energy_label!L$6-datablad!M17*IF(AND(Energy_label!$H$12&gt;-10,Energy_label!$H$12&lt;30),1,340/Energy_label!$Q$17)-K$2+K$3)/10)+10^(K$4/10))+K$5</f>
        <v>#NUM!</v>
      </c>
      <c r="L20" s="32" t="e">
        <f>10*LOG(10^((Energy_label!M$6-datablad!N17*IF(AND(Energy_label!$H$12&gt;-10,Energy_label!$H$12&lt;30),1,340/Energy_label!$Q$17)-L$2+L$3)/10)+10^(L$4/10))+L$5</f>
        <v>#NUM!</v>
      </c>
      <c r="M20" s="34" t="e">
        <f t="shared" si="1"/>
        <v>#NUM!</v>
      </c>
      <c r="N20" s="31" t="e">
        <f>IF(M20&lt;Energy_label!N$8,1,0)</f>
        <v>#NUM!</v>
      </c>
      <c r="O20" s="48" t="e">
        <f>0.5*Energy_label!$N$17*Energy_label!$G$17^2*O$5</f>
        <v>#NUM!</v>
      </c>
      <c r="P20" s="48" t="e">
        <f>0.5*Energy_label!$N$17*Energy_label!$G$17^2*P$5*B20/1000</f>
        <v>#NUM!</v>
      </c>
      <c r="Q20" s="48" t="e">
        <f>0.5*Energy_label!$N$17*Energy_label!$G$17^2*Q$5</f>
        <v>#NUM!</v>
      </c>
      <c r="R20" s="50" t="e">
        <f t="shared" si="2"/>
        <v>#NUM!</v>
      </c>
    </row>
    <row r="21" spans="1:28" x14ac:dyDescent="0.15">
      <c r="B21">
        <v>4250</v>
      </c>
      <c r="C21" s="32" t="e">
        <f>10*LOG(10^((Energy_label!D$6-datablad!E18*IF(AND(Energy_label!$H$12&gt;-10,Energy_label!$H$12&lt;30),1,340/Energy_label!$Q$17)-C$2+C$3)/10)+10^(C$4/10))+C$5</f>
        <v>#NUM!</v>
      </c>
      <c r="D21" s="32" t="e">
        <f>10*LOG(10^((Energy_label!E$6-datablad!F18*IF(AND(Energy_label!$H$12&gt;-10,Energy_label!$H$12&lt;30),1,340/Energy_label!$Q$17)-D$2+D$3)/10)+10^(D$4/10))+D$5</f>
        <v>#NUM!</v>
      </c>
      <c r="E21" s="32" t="e">
        <f>10*LOG(10^((Energy_label!F$6-datablad!G18*IF(AND(Energy_label!$H$12&gt;-10,Energy_label!$H$12&lt;30),1,340/Energy_label!$Q$17)-E$2+E$3)/10)+10^(E$4/10))+E$5</f>
        <v>#NUM!</v>
      </c>
      <c r="F21" s="32" t="e">
        <f>10*LOG(10^((Energy_label!G$6-datablad!H18*IF(AND(Energy_label!$H$12&gt;-10,Energy_label!$H$12&lt;30),1,340/Energy_label!$Q$17)-F$2+F$3)/10)+10^(F$4/10))+F$5</f>
        <v>#NUM!</v>
      </c>
      <c r="G21" s="32" t="e">
        <f>10*LOG(10^((Energy_label!H$6-datablad!I18*IF(AND(Energy_label!$H$12&gt;-10,Energy_label!$H$12&lt;30),1,340/Energy_label!$Q$17)-G$2+G$3)/10)+10^(G$4/10))+G$5</f>
        <v>#NUM!</v>
      </c>
      <c r="H21" s="32" t="e">
        <f>10*LOG(10^((Energy_label!I$6-datablad!J18*IF(AND(Energy_label!$H$12&gt;-10,Energy_label!$H$12&lt;30),1,340/Energy_label!$Q$17)-H$2+H$3)/10)+10^(H$4/10))+H$5</f>
        <v>#NUM!</v>
      </c>
      <c r="I21" s="32" t="e">
        <f>10*LOG(10^((Energy_label!J$6-datablad!K18*IF(AND(Energy_label!$H$12&gt;-10,Energy_label!$H$12&lt;30),1,340/Energy_label!$Q$17)-I$2+I$3)/10)+10^(I$4/10))+I$5</f>
        <v>#NUM!</v>
      </c>
      <c r="J21" s="32" t="e">
        <f>10*LOG(10^((Energy_label!K$6-datablad!L18*IF(AND(Energy_label!$H$12&gt;-10,Energy_label!$H$12&lt;30),1,340/Energy_label!$Q$17)-J$2+J$3)/10)+10^(J$4/10))+J$5</f>
        <v>#NUM!</v>
      </c>
      <c r="K21" s="32" t="e">
        <f>10*LOG(10^((Energy_label!L$6-datablad!M18*IF(AND(Energy_label!$H$12&gt;-10,Energy_label!$H$12&lt;30),1,340/Energy_label!$Q$17)-K$2+K$3)/10)+10^(K$4/10))+K$5</f>
        <v>#NUM!</v>
      </c>
      <c r="L21" s="32" t="e">
        <f>10*LOG(10^((Energy_label!M$6-datablad!N18*IF(AND(Energy_label!$H$12&gt;-10,Energy_label!$H$12&lt;30),1,340/Energy_label!$Q$17)-L$2+L$3)/10)+10^(L$4/10))+L$5</f>
        <v>#NUM!</v>
      </c>
      <c r="M21" s="34" t="e">
        <f t="shared" si="1"/>
        <v>#NUM!</v>
      </c>
      <c r="N21" s="31" t="e">
        <f>IF(M21&lt;Energy_label!N$8,1,0)</f>
        <v>#NUM!</v>
      </c>
      <c r="O21" s="48" t="e">
        <f>0.5*Energy_label!$N$17*Energy_label!$G$17^2*O$5</f>
        <v>#NUM!</v>
      </c>
      <c r="P21" s="48" t="e">
        <f>0.5*Energy_label!$N$17*Energy_label!$G$17^2*P$5*B21/1000</f>
        <v>#NUM!</v>
      </c>
      <c r="Q21" s="48" t="e">
        <f>0.5*Energy_label!$N$17*Energy_label!$G$17^2*Q$5</f>
        <v>#NUM!</v>
      </c>
      <c r="R21" s="50" t="e">
        <f t="shared" si="2"/>
        <v>#NUM!</v>
      </c>
      <c r="U21" t="s">
        <v>44</v>
      </c>
      <c r="Y21" s="15" t="s">
        <v>48</v>
      </c>
    </row>
    <row r="22" spans="1:28" ht="12" thickBot="1" x14ac:dyDescent="0.2">
      <c r="B22">
        <v>4500</v>
      </c>
      <c r="C22" s="32" t="e">
        <f>10*LOG(10^((Energy_label!D$6-datablad!E19*IF(AND(Energy_label!$H$12&gt;-10,Energy_label!$H$12&lt;30),1,340/Energy_label!$Q$17)-C$2+C$3)/10)+10^(C$4/10))+C$5</f>
        <v>#NUM!</v>
      </c>
      <c r="D22" s="32" t="e">
        <f>10*LOG(10^((Energy_label!E$6-datablad!F19*IF(AND(Energy_label!$H$12&gt;-10,Energy_label!$H$12&lt;30),1,340/Energy_label!$Q$17)-D$2+D$3)/10)+10^(D$4/10))+D$5</f>
        <v>#NUM!</v>
      </c>
      <c r="E22" s="32" t="e">
        <f>10*LOG(10^((Energy_label!F$6-datablad!G19*IF(AND(Energy_label!$H$12&gt;-10,Energy_label!$H$12&lt;30),1,340/Energy_label!$Q$17)-E$2+E$3)/10)+10^(E$4/10))+E$5</f>
        <v>#NUM!</v>
      </c>
      <c r="F22" s="32" t="e">
        <f>10*LOG(10^((Energy_label!G$6-datablad!H19*IF(AND(Energy_label!$H$12&gt;-10,Energy_label!$H$12&lt;30),1,340/Energy_label!$Q$17)-F$2+F$3)/10)+10^(F$4/10))+F$5</f>
        <v>#NUM!</v>
      </c>
      <c r="G22" s="32" t="e">
        <f>10*LOG(10^((Energy_label!H$6-datablad!I19*IF(AND(Energy_label!$H$12&gt;-10,Energy_label!$H$12&lt;30),1,340/Energy_label!$Q$17)-G$2+G$3)/10)+10^(G$4/10))+G$5</f>
        <v>#NUM!</v>
      </c>
      <c r="H22" s="32" t="e">
        <f>10*LOG(10^((Energy_label!I$6-datablad!J19*IF(AND(Energy_label!$H$12&gt;-10,Energy_label!$H$12&lt;30),1,340/Energy_label!$Q$17)-H$2+H$3)/10)+10^(H$4/10))+H$5</f>
        <v>#NUM!</v>
      </c>
      <c r="I22" s="32" t="e">
        <f>10*LOG(10^((Energy_label!J$6-datablad!K19*IF(AND(Energy_label!$H$12&gt;-10,Energy_label!$H$12&lt;30),1,340/Energy_label!$Q$17)-I$2+I$3)/10)+10^(I$4/10))+I$5</f>
        <v>#NUM!</v>
      </c>
      <c r="J22" s="32" t="e">
        <f>10*LOG(10^((Energy_label!K$6-datablad!L19*IF(AND(Energy_label!$H$12&gt;-10,Energy_label!$H$12&lt;30),1,340/Energy_label!$Q$17)-J$2+J$3)/10)+10^(J$4/10))+J$5</f>
        <v>#NUM!</v>
      </c>
      <c r="K22" s="32" t="e">
        <f>10*LOG(10^((Energy_label!L$6-datablad!M19*IF(AND(Energy_label!$H$12&gt;-10,Energy_label!$H$12&lt;30),1,340/Energy_label!$Q$17)-K$2+K$3)/10)+10^(K$4/10))+K$5</f>
        <v>#NUM!</v>
      </c>
      <c r="L22" s="32" t="e">
        <f>10*LOG(10^((Energy_label!M$6-datablad!N19*IF(AND(Energy_label!$H$12&gt;-10,Energy_label!$H$12&lt;30),1,340/Energy_label!$Q$17)-L$2+L$3)/10)+10^(L$4/10))+L$5</f>
        <v>#NUM!</v>
      </c>
      <c r="M22" s="35" t="e">
        <f t="shared" si="1"/>
        <v>#NUM!</v>
      </c>
      <c r="N22" s="31" t="e">
        <f>IF(M22&lt;Energy_label!N$8,1,0)</f>
        <v>#NUM!</v>
      </c>
      <c r="O22" s="48" t="e">
        <f>0.5*Energy_label!$N$17*Energy_label!$G$17^2*O$5</f>
        <v>#NUM!</v>
      </c>
      <c r="P22" s="48" t="e">
        <f>0.5*Energy_label!$N$17*Energy_label!$G$17^2*P$5*B22/1000</f>
        <v>#NUM!</v>
      </c>
      <c r="Q22" s="48" t="e">
        <f>0.5*Energy_label!$N$17*Energy_label!$G$17^2*Q$5</f>
        <v>#NUM!</v>
      </c>
      <c r="R22" s="51" t="e">
        <f>SUM(O22:Q22)</f>
        <v>#NUM!</v>
      </c>
    </row>
    <row r="23" spans="1:28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U23" t="s">
        <v>45</v>
      </c>
      <c r="Y23" t="s">
        <v>49</v>
      </c>
      <c r="AB23">
        <f>(Energy_label!D12/3600)/Energy_label!N17</f>
        <v>0</v>
      </c>
    </row>
    <row r="24" spans="1:28" x14ac:dyDescent="0.15">
      <c r="C24" s="31" t="e">
        <f>-0.55*(LOG(C1/$V$45)*3.33-1.65)^2+0.8*(LOG(C1/$V$45)*3.33-1.65)-6+$M24+C3</f>
        <v>#NUM!</v>
      </c>
      <c r="D24" s="31" t="e">
        <f t="shared" ref="D24:K24" si="3">-0.55*(LOG(D1/$V$45)*3.33-1.65)^2+0.8*(LOG(D1/$V$45)*3.33-1.65)-6+$M24+D3</f>
        <v>#NUM!</v>
      </c>
      <c r="E24" s="31" t="e">
        <f t="shared" si="3"/>
        <v>#NUM!</v>
      </c>
      <c r="F24" s="31" t="e">
        <f t="shared" si="3"/>
        <v>#NUM!</v>
      </c>
      <c r="G24" s="31" t="e">
        <f t="shared" si="3"/>
        <v>#NUM!</v>
      </c>
      <c r="H24" s="31" t="e">
        <f t="shared" si="3"/>
        <v>#NUM!</v>
      </c>
      <c r="I24" s="31" t="e">
        <f t="shared" si="3"/>
        <v>#NUM!</v>
      </c>
      <c r="J24" s="31" t="e">
        <f t="shared" si="3"/>
        <v>#NUM!</v>
      </c>
      <c r="K24" s="31" t="e">
        <f t="shared" si="3"/>
        <v>#NUM!</v>
      </c>
      <c r="L24" s="31" t="e">
        <f>-0.55*(LOG(L1/$V$45)*3.33-1.65)^2+0.8*(LOG(L1/$V$45)*3.33-1.65)-6+$M24+L3</f>
        <v>#NUM!</v>
      </c>
      <c r="M24" s="31" t="e">
        <f>7+50*LOG(V45)+10*LOG(Energy_label!I17)</f>
        <v>#NUM!</v>
      </c>
      <c r="N24" s="31"/>
      <c r="O24" s="31"/>
      <c r="P24" s="31"/>
      <c r="Q24" s="31"/>
      <c r="R24" s="31"/>
    </row>
    <row r="25" spans="1:28" ht="12" thickBot="1" x14ac:dyDescent="0.2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>
        <v>2.3E-2</v>
      </c>
      <c r="P25" s="31"/>
      <c r="Q25" s="31">
        <v>0.1</v>
      </c>
      <c r="R25" s="31"/>
      <c r="U25" t="s">
        <v>46</v>
      </c>
      <c r="X25" t="s">
        <v>50</v>
      </c>
      <c r="AB25" t="e">
        <f>AB23/Energy_label!G17</f>
        <v>#NUM!</v>
      </c>
    </row>
    <row r="26" spans="1:28" x14ac:dyDescent="0.15">
      <c r="A26" t="s">
        <v>54</v>
      </c>
      <c r="B26">
        <v>500</v>
      </c>
      <c r="C26" s="36" t="e">
        <f>10*LOG(10^((C$22-C$5-datablad!E3*IF(AND(Energy_label!$H$12&gt;-10,Energy_label!$H$12&lt;30),1,340/Energy_label!$Q$17))/10)+10^(C$24/10))+C$5</f>
        <v>#NUM!</v>
      </c>
      <c r="D26" s="36" t="e">
        <f>10*LOG(10^((D$22-D$5-datablad!F3*IF(AND(Energy_label!$H$12&gt;-10,Energy_label!$H$12&lt;30),1,340/Energy_label!$Q$17))/10)+10^(D$24/10))+D$5</f>
        <v>#NUM!</v>
      </c>
      <c r="E26" s="36" t="e">
        <f>10*LOG(10^((E$22-E$5-datablad!G3*IF(AND(Energy_label!$H$12&gt;-10,Energy_label!$H$12&lt;30),1,340/Energy_label!$Q$17))/10)+10^(E$24/10))+E$5</f>
        <v>#NUM!</v>
      </c>
      <c r="F26" s="36" t="e">
        <f>10*LOG(10^((F$22-F$5-datablad!H3*IF(AND(Energy_label!$H$12&gt;-10,Energy_label!$H$12&lt;30),1,340/Energy_label!$Q$17))/10)+10^(F$24/10))+F$5</f>
        <v>#NUM!</v>
      </c>
      <c r="G26" s="36" t="e">
        <f>10*LOG(10^((G$22-G$5-datablad!I3*IF(AND(Energy_label!$H$12&gt;-10,Energy_label!$H$12&lt;30),1,340/Energy_label!$Q$17))/10)+10^(G$24/10))+G$5</f>
        <v>#NUM!</v>
      </c>
      <c r="H26" s="36" t="e">
        <f>10*LOG(10^((H$22-H$5-datablad!J3*IF(AND(Energy_label!$H$12&gt;-10,Energy_label!$H$12&lt;30),1,340/Energy_label!$Q$17))/10)+10^(H$24/10))+H$5</f>
        <v>#NUM!</v>
      </c>
      <c r="I26" s="36" t="e">
        <f>10*LOG(10^((I$22-I$5-datablad!K3*IF(AND(Energy_label!$H$12&gt;-10,Energy_label!$H$12&lt;30),1,340/Energy_label!$Q$17))/10)+10^(I$24/10))+I$5</f>
        <v>#NUM!</v>
      </c>
      <c r="J26" s="36" t="e">
        <f>10*LOG(10^((J$22-J$5-datablad!L3*IF(AND(Energy_label!$H$12&gt;-10,Energy_label!$H$12&lt;30),1,340/Energy_label!$Q$17))/10)+10^(J$24/10))+J$5</f>
        <v>#NUM!</v>
      </c>
      <c r="K26" s="36" t="e">
        <f>10*LOG(10^((K$22-K$5-datablad!M3*IF(AND(Energy_label!$H$12&gt;-10,Energy_label!$H$12&lt;30),1,340/Energy_label!$Q$17))/10)+10^(K$24/10))+K$5</f>
        <v>#NUM!</v>
      </c>
      <c r="L26" s="36" t="e">
        <f>10*LOG(10^((L$22-L$5-datablad!N3*IF(AND(Energy_label!$H$12&gt;-10,Energy_label!$H$12&lt;30),1,340/Energy_label!$Q$17))/10)+10^(L$24/10))+L$5</f>
        <v>#NUM!</v>
      </c>
      <c r="M26" s="37" t="e">
        <f>10*LOG(10^(C26/10)+10^(D26/10)+10^(E26/10)+10^(F26/10)+10^(G26/10)+10^(H26/10)+10^(I26/10)+10^(J26/10)+10^(K26/10)+10^(L26/10))</f>
        <v>#NUM!</v>
      </c>
      <c r="N26" s="31" t="e">
        <f>IF(M26&lt;Energy_label!N$8,1,0)</f>
        <v>#NUM!</v>
      </c>
      <c r="O26" s="52" t="e">
        <f>0.5*Energy_label!$N$17*Energy_label!$G$17^2*O$25</f>
        <v>#NUM!</v>
      </c>
      <c r="P26" s="52" t="e">
        <f>0.5*Energy_label!$N$17*Energy_label!$G$17^2*P$5*B26/1000</f>
        <v>#NUM!</v>
      </c>
      <c r="Q26" s="52" t="e">
        <f>0.5*Energy_label!$N$17*Energy_label!$G$17^2*Q$25</f>
        <v>#NUM!</v>
      </c>
      <c r="R26" s="53" t="e">
        <f>SUM(O26:Q26)+R$22</f>
        <v>#NUM!</v>
      </c>
    </row>
    <row r="27" spans="1:28" x14ac:dyDescent="0.15">
      <c r="B27">
        <v>750</v>
      </c>
      <c r="C27" s="36" t="e">
        <f>10*LOG(10^((C$22-C$5-datablad!E4*IF(AND(Energy_label!$H$12&gt;-10,Energy_label!$H$12&lt;30),1,340/Energy_label!$Q$17))/10)+10^(C$24/10))+C$5</f>
        <v>#NUM!</v>
      </c>
      <c r="D27" s="36" t="e">
        <f>10*LOG(10^((D$22-D$5-datablad!F4*IF(AND(Energy_label!$H$12&gt;-10,Energy_label!$H$12&lt;30),1,340/Energy_label!$Q$17))/10)+10^(D$24/10))+D$5</f>
        <v>#NUM!</v>
      </c>
      <c r="E27" s="36" t="e">
        <f>10*LOG(10^((E$22-E$5-datablad!G4*IF(AND(Energy_label!$H$12&gt;-10,Energy_label!$H$12&lt;30),1,340/Energy_label!$Q$17))/10)+10^(E$24/10))+E$5</f>
        <v>#NUM!</v>
      </c>
      <c r="F27" s="36" t="e">
        <f>10*LOG(10^((F$22-F$5-datablad!H4*IF(AND(Energy_label!$H$12&gt;-10,Energy_label!$H$12&lt;30),1,340/Energy_label!$Q$17))/10)+10^(F$24/10))+F$5</f>
        <v>#NUM!</v>
      </c>
      <c r="G27" s="36" t="e">
        <f>10*LOG(10^((G$22-G$5-datablad!I4*IF(AND(Energy_label!$H$12&gt;-10,Energy_label!$H$12&lt;30),1,340/Energy_label!$Q$17))/10)+10^(G$24/10))+G$5</f>
        <v>#NUM!</v>
      </c>
      <c r="H27" s="36" t="e">
        <f>10*LOG(10^((H$22-H$5-datablad!J4*IF(AND(Energy_label!$H$12&gt;-10,Energy_label!$H$12&lt;30),1,340/Energy_label!$Q$17))/10)+10^(H$24/10))+H$5</f>
        <v>#NUM!</v>
      </c>
      <c r="I27" s="36" t="e">
        <f>10*LOG(10^((I$22-I$5-datablad!K4*IF(AND(Energy_label!$H$12&gt;-10,Energy_label!$H$12&lt;30),1,340/Energy_label!$Q$17))/10)+10^(I$24/10))+I$5</f>
        <v>#NUM!</v>
      </c>
      <c r="J27" s="36" t="e">
        <f>10*LOG(10^((J$22-J$5-datablad!L4*IF(AND(Energy_label!$H$12&gt;-10,Energy_label!$H$12&lt;30),1,340/Energy_label!$Q$17))/10)+10^(J$24/10))+J$5</f>
        <v>#NUM!</v>
      </c>
      <c r="K27" s="36" t="e">
        <f>10*LOG(10^((K$22-K$5-datablad!M4*IF(AND(Energy_label!$H$12&gt;-10,Energy_label!$H$12&lt;30),1,340/Energy_label!$Q$17))/10)+10^(K$24/10))+K$5</f>
        <v>#NUM!</v>
      </c>
      <c r="L27" s="36" t="e">
        <f>10*LOG(10^((L$22-L$5-datablad!N4*IF(AND(Energy_label!$H$12&gt;-10,Energy_label!$H$12&lt;30),1,340/Energy_label!$Q$17))/10)+10^(L$24/10))+L$5</f>
        <v>#NUM!</v>
      </c>
      <c r="M27" s="38" t="e">
        <f t="shared" ref="M27:M43" si="4">10*LOG(10^(C27/10)+10^(D27/10)+10^(E27/10)+10^(F27/10)+10^(G27/10)+10^(H27/10)+10^(I27/10)+10^(J27/10)+10^(K27/10)+10^(L27/10))</f>
        <v>#NUM!</v>
      </c>
      <c r="N27" s="31" t="e">
        <f>IF(M27&lt;Energy_label!N$8,1,0)</f>
        <v>#NUM!</v>
      </c>
      <c r="O27" s="52" t="e">
        <f>0.5*Energy_label!$N$17*Energy_label!$G$17^2*O$25</f>
        <v>#NUM!</v>
      </c>
      <c r="P27" s="52" t="e">
        <f>0.5*Energy_label!$N$17*Energy_label!$G$17^2*P$5*B27/1000</f>
        <v>#NUM!</v>
      </c>
      <c r="Q27" s="52" t="e">
        <f>0.5*Energy_label!$N$17*Energy_label!$G$17^2*Q$25</f>
        <v>#NUM!</v>
      </c>
      <c r="R27" s="54" t="e">
        <f t="shared" ref="R27:R42" si="5">SUM(O27:Q27)+R$22</f>
        <v>#NUM!</v>
      </c>
      <c r="U27" t="s">
        <v>47</v>
      </c>
      <c r="X27" t="s">
        <v>47</v>
      </c>
      <c r="AB27" t="e">
        <f>1.25*AB25/Energy_label!N17</f>
        <v>#NUM!</v>
      </c>
    </row>
    <row r="28" spans="1:28" x14ac:dyDescent="0.15">
      <c r="B28">
        <v>1000</v>
      </c>
      <c r="C28" s="36" t="e">
        <f>10*LOG(10^((C$22-C$5-datablad!E5*IF(AND(Energy_label!$H$12&gt;-10,Energy_label!$H$12&lt;30),1,340/Energy_label!$Q$17))/10)+10^(C$24/10))+C$5</f>
        <v>#NUM!</v>
      </c>
      <c r="D28" s="36" t="e">
        <f>10*LOG(10^((D$22-D$5-datablad!F5*IF(AND(Energy_label!$H$12&gt;-10,Energy_label!$H$12&lt;30),1,340/Energy_label!$Q$17))/10)+10^(D$24/10))+D$5</f>
        <v>#NUM!</v>
      </c>
      <c r="E28" s="36" t="e">
        <f>10*LOG(10^((E$22-E$5-datablad!G5*IF(AND(Energy_label!$H$12&gt;-10,Energy_label!$H$12&lt;30),1,340/Energy_label!$Q$17))/10)+10^(E$24/10))+E$5</f>
        <v>#NUM!</v>
      </c>
      <c r="F28" s="36" t="e">
        <f>10*LOG(10^((F$22-F$5-datablad!H5*IF(AND(Energy_label!$H$12&gt;-10,Energy_label!$H$12&lt;30),1,340/Energy_label!$Q$17))/10)+10^(F$24/10))+F$5</f>
        <v>#NUM!</v>
      </c>
      <c r="G28" s="36" t="e">
        <f>10*LOG(10^((G$22-G$5-datablad!I5*IF(AND(Energy_label!$H$12&gt;-10,Energy_label!$H$12&lt;30),1,340/Energy_label!$Q$17))/10)+10^(G$24/10))+G$5</f>
        <v>#NUM!</v>
      </c>
      <c r="H28" s="36" t="e">
        <f>10*LOG(10^((H$22-H$5-datablad!J5*IF(AND(Energy_label!$H$12&gt;-10,Energy_label!$H$12&lt;30),1,340/Energy_label!$Q$17))/10)+10^(H$24/10))+H$5</f>
        <v>#NUM!</v>
      </c>
      <c r="I28" s="36" t="e">
        <f>10*LOG(10^((I$22-I$5-datablad!K5*IF(AND(Energy_label!$H$12&gt;-10,Energy_label!$H$12&lt;30),1,340/Energy_label!$Q$17))/10)+10^(I$24/10))+I$5</f>
        <v>#NUM!</v>
      </c>
      <c r="J28" s="36" t="e">
        <f>10*LOG(10^((J$22-J$5-datablad!L5*IF(AND(Energy_label!$H$12&gt;-10,Energy_label!$H$12&lt;30),1,340/Energy_label!$Q$17))/10)+10^(J$24/10))+J$5</f>
        <v>#NUM!</v>
      </c>
      <c r="K28" s="36" t="e">
        <f>10*LOG(10^((K$22-K$5-datablad!M5*IF(AND(Energy_label!$H$12&gt;-10,Energy_label!$H$12&lt;30),1,340/Energy_label!$Q$17))/10)+10^(K$24/10))+K$5</f>
        <v>#NUM!</v>
      </c>
      <c r="L28" s="36" t="e">
        <f>10*LOG(10^((L$22-L$5-datablad!N5*IF(AND(Energy_label!$H$12&gt;-10,Energy_label!$H$12&lt;30),1,340/Energy_label!$Q$17))/10)+10^(L$24/10))+L$5</f>
        <v>#NUM!</v>
      </c>
      <c r="M28" s="38" t="e">
        <f t="shared" si="4"/>
        <v>#NUM!</v>
      </c>
      <c r="N28" s="31" t="e">
        <f>IF(M28&lt;Energy_label!N$8,1,0)</f>
        <v>#NUM!</v>
      </c>
      <c r="O28" s="52" t="e">
        <f>0.5*Energy_label!$N$17*Energy_label!$G$17^2*O$25</f>
        <v>#NUM!</v>
      </c>
      <c r="P28" s="52" t="e">
        <f>0.5*Energy_label!$N$17*Energy_label!$G$17^2*P$5*B28/1000</f>
        <v>#NUM!</v>
      </c>
      <c r="Q28" s="52" t="e">
        <f>0.5*Energy_label!$N$17*Energy_label!$G$17^2*Q$25</f>
        <v>#NUM!</v>
      </c>
      <c r="R28" s="54" t="e">
        <f t="shared" si="5"/>
        <v>#NUM!</v>
      </c>
    </row>
    <row r="29" spans="1:28" x14ac:dyDescent="0.15">
      <c r="B29">
        <v>1250</v>
      </c>
      <c r="C29" s="36" t="e">
        <f>10*LOG(10^((C$22-C$5-datablad!E6*IF(AND(Energy_label!$H$12&gt;-10,Energy_label!$H$12&lt;30),1,340/Energy_label!$Q$17))/10)+10^(C$24/10))+C$5</f>
        <v>#NUM!</v>
      </c>
      <c r="D29" s="36" t="e">
        <f>10*LOG(10^((D$22-D$5-datablad!F6*IF(AND(Energy_label!$H$12&gt;-10,Energy_label!$H$12&lt;30),1,340/Energy_label!$Q$17))/10)+10^(D$24/10))+D$5</f>
        <v>#NUM!</v>
      </c>
      <c r="E29" s="36" t="e">
        <f>10*LOG(10^((E$22-E$5-datablad!G6*IF(AND(Energy_label!$H$12&gt;-10,Energy_label!$H$12&lt;30),1,340/Energy_label!$Q$17))/10)+10^(E$24/10))+E$5</f>
        <v>#NUM!</v>
      </c>
      <c r="F29" s="36" t="e">
        <f>10*LOG(10^((F$22-F$5-datablad!H6*IF(AND(Energy_label!$H$12&gt;-10,Energy_label!$H$12&lt;30),1,340/Energy_label!$Q$17))/10)+10^(F$24/10))+F$5</f>
        <v>#NUM!</v>
      </c>
      <c r="G29" s="36" t="e">
        <f>10*LOG(10^((G$22-G$5-datablad!I6*IF(AND(Energy_label!$H$12&gt;-10,Energy_label!$H$12&lt;30),1,340/Energy_label!$Q$17))/10)+10^(G$24/10))+G$5</f>
        <v>#NUM!</v>
      </c>
      <c r="H29" s="36" t="e">
        <f>10*LOG(10^((H$22-H$5-datablad!J6*IF(AND(Energy_label!$H$12&gt;-10,Energy_label!$H$12&lt;30),1,340/Energy_label!$Q$17))/10)+10^(H$24/10))+H$5</f>
        <v>#NUM!</v>
      </c>
      <c r="I29" s="36" t="e">
        <f>10*LOG(10^((I$22-I$5-datablad!K6*IF(AND(Energy_label!$H$12&gt;-10,Energy_label!$H$12&lt;30),1,340/Energy_label!$Q$17))/10)+10^(I$24/10))+I$5</f>
        <v>#NUM!</v>
      </c>
      <c r="J29" s="36" t="e">
        <f>10*LOG(10^((J$22-J$5-datablad!L6*IF(AND(Energy_label!$H$12&gt;-10,Energy_label!$H$12&lt;30),1,340/Energy_label!$Q$17))/10)+10^(J$24/10))+J$5</f>
        <v>#NUM!</v>
      </c>
      <c r="K29" s="36" t="e">
        <f>10*LOG(10^((K$22-K$5-datablad!M6*IF(AND(Energy_label!$H$12&gt;-10,Energy_label!$H$12&lt;30),1,340/Energy_label!$Q$17))/10)+10^(K$24/10))+K$5</f>
        <v>#NUM!</v>
      </c>
      <c r="L29" s="36" t="e">
        <f>10*LOG(10^((L$22-L$5-datablad!N6*IF(AND(Energy_label!$H$12&gt;-10,Energy_label!$H$12&lt;30),1,340/Energy_label!$Q$17))/10)+10^(L$24/10))+L$5</f>
        <v>#NUM!</v>
      </c>
      <c r="M29" s="38" t="e">
        <f t="shared" si="4"/>
        <v>#NUM!</v>
      </c>
      <c r="N29" s="31" t="e">
        <f>IF(M29&lt;Energy_label!N$8,1,0)</f>
        <v>#NUM!</v>
      </c>
      <c r="O29" s="52" t="e">
        <f>0.5*Energy_label!$N$17*Energy_label!$G$17^2*O$25</f>
        <v>#NUM!</v>
      </c>
      <c r="P29" s="52" t="e">
        <f>0.5*Energy_label!$N$17*Energy_label!$G$17^2*P$5*B29/1000</f>
        <v>#NUM!</v>
      </c>
      <c r="Q29" s="52" t="e">
        <f>0.5*Energy_label!$N$17*Energy_label!$G$17^2*Q$25</f>
        <v>#NUM!</v>
      </c>
      <c r="R29" s="54" t="e">
        <f t="shared" si="5"/>
        <v>#NUM!</v>
      </c>
      <c r="AB29" t="e">
        <f>AB25*2</f>
        <v>#NUM!</v>
      </c>
    </row>
    <row r="30" spans="1:28" x14ac:dyDescent="0.15">
      <c r="B30">
        <v>1500</v>
      </c>
      <c r="C30" s="36" t="e">
        <f>10*LOG(10^((C$22-C$5-datablad!E7*IF(AND(Energy_label!$H$12&gt;-10,Energy_label!$H$12&lt;30),1,340/Energy_label!$Q$17))/10)+10^(C$24/10))+C$5</f>
        <v>#NUM!</v>
      </c>
      <c r="D30" s="36" t="e">
        <f>10*LOG(10^((D$22-D$5-datablad!F7*IF(AND(Energy_label!$H$12&gt;-10,Energy_label!$H$12&lt;30),1,340/Energy_label!$Q$17))/10)+10^(D$24/10))+D$5</f>
        <v>#NUM!</v>
      </c>
      <c r="E30" s="36" t="e">
        <f>10*LOG(10^((E$22-E$5-datablad!G7*IF(AND(Energy_label!$H$12&gt;-10,Energy_label!$H$12&lt;30),1,340/Energy_label!$Q$17))/10)+10^(E$24/10))+E$5</f>
        <v>#NUM!</v>
      </c>
      <c r="F30" s="36" t="e">
        <f>10*LOG(10^((F$22-F$5-datablad!H7*IF(AND(Energy_label!$H$12&gt;-10,Energy_label!$H$12&lt;30),1,340/Energy_label!$Q$17))/10)+10^(F$24/10))+F$5</f>
        <v>#NUM!</v>
      </c>
      <c r="G30" s="36" t="e">
        <f>10*LOG(10^((G$22-G$5-datablad!I7*IF(AND(Energy_label!$H$12&gt;-10,Energy_label!$H$12&lt;30),1,340/Energy_label!$Q$17))/10)+10^(G$24/10))+G$5</f>
        <v>#NUM!</v>
      </c>
      <c r="H30" s="36" t="e">
        <f>10*LOG(10^((H$22-H$5-datablad!J7*IF(AND(Energy_label!$H$12&gt;-10,Energy_label!$H$12&lt;30),1,340/Energy_label!$Q$17))/10)+10^(H$24/10))+H$5</f>
        <v>#NUM!</v>
      </c>
      <c r="I30" s="36" t="e">
        <f>10*LOG(10^((I$22-I$5-datablad!K7*IF(AND(Energy_label!$H$12&gt;-10,Energy_label!$H$12&lt;30),1,340/Energy_label!$Q$17))/10)+10^(I$24/10))+I$5</f>
        <v>#NUM!</v>
      </c>
      <c r="J30" s="36" t="e">
        <f>10*LOG(10^((J$22-J$5-datablad!L7*IF(AND(Energy_label!$H$12&gt;-10,Energy_label!$H$12&lt;30),1,340/Energy_label!$Q$17))/10)+10^(J$24/10))+J$5</f>
        <v>#NUM!</v>
      </c>
      <c r="K30" s="36" t="e">
        <f>10*LOG(10^((K$22-K$5-datablad!M7*IF(AND(Energy_label!$H$12&gt;-10,Energy_label!$H$12&lt;30),1,340/Energy_label!$Q$17))/10)+10^(K$24/10))+K$5</f>
        <v>#NUM!</v>
      </c>
      <c r="L30" s="36" t="e">
        <f>10*LOG(10^((L$22-L$5-datablad!N7*IF(AND(Energy_label!$H$12&gt;-10,Energy_label!$H$12&lt;30),1,340/Energy_label!$Q$17))/10)+10^(L$24/10))+L$5</f>
        <v>#NUM!</v>
      </c>
      <c r="M30" s="38" t="e">
        <f t="shared" si="4"/>
        <v>#NUM!</v>
      </c>
      <c r="N30" s="31" t="e">
        <f>IF(M30&lt;Energy_label!N$8,1,0)</f>
        <v>#NUM!</v>
      </c>
      <c r="O30" s="52" t="e">
        <f>0.5*Energy_label!$N$17*Energy_label!$G$17^2*O$25</f>
        <v>#NUM!</v>
      </c>
      <c r="P30" s="52" t="e">
        <f>0.5*Energy_label!$N$17*Energy_label!$G$17^2*P$5*B30/1000</f>
        <v>#NUM!</v>
      </c>
      <c r="Q30" s="52" t="e">
        <f>0.5*Energy_label!$N$17*Energy_label!$G$17^2*Q$25</f>
        <v>#NUM!</v>
      </c>
      <c r="R30" s="54" t="e">
        <f t="shared" si="5"/>
        <v>#NUM!</v>
      </c>
    </row>
    <row r="31" spans="1:28" x14ac:dyDescent="0.15">
      <c r="B31">
        <v>1750</v>
      </c>
      <c r="C31" s="36" t="e">
        <f>10*LOG(10^((C$22-C$5-datablad!E8*IF(AND(Energy_label!$H$12&gt;-10,Energy_label!$H$12&lt;30),1,340/Energy_label!$Q$17))/10)+10^(C$24/10))+C$5</f>
        <v>#NUM!</v>
      </c>
      <c r="D31" s="36" t="e">
        <f>10*LOG(10^((D$22-D$5-datablad!F8*IF(AND(Energy_label!$H$12&gt;-10,Energy_label!$H$12&lt;30),1,340/Energy_label!$Q$17))/10)+10^(D$24/10))+D$5</f>
        <v>#NUM!</v>
      </c>
      <c r="E31" s="36" t="e">
        <f>10*LOG(10^((E$22-E$5-datablad!G8*IF(AND(Energy_label!$H$12&gt;-10,Energy_label!$H$12&lt;30),1,340/Energy_label!$Q$17))/10)+10^(E$24/10))+E$5</f>
        <v>#NUM!</v>
      </c>
      <c r="F31" s="36" t="e">
        <f>10*LOG(10^((F$22-F$5-datablad!H8*IF(AND(Energy_label!$H$12&gt;-10,Energy_label!$H$12&lt;30),1,340/Energy_label!$Q$17))/10)+10^(F$24/10))+F$5</f>
        <v>#NUM!</v>
      </c>
      <c r="G31" s="36" t="e">
        <f>10*LOG(10^((G$22-G$5-datablad!I8*IF(AND(Energy_label!$H$12&gt;-10,Energy_label!$H$12&lt;30),1,340/Energy_label!$Q$17))/10)+10^(G$24/10))+G$5</f>
        <v>#NUM!</v>
      </c>
      <c r="H31" s="36" t="e">
        <f>10*LOG(10^((H$22-H$5-datablad!J8*IF(AND(Energy_label!$H$12&gt;-10,Energy_label!$H$12&lt;30),1,340/Energy_label!$Q$17))/10)+10^(H$24/10))+H$5</f>
        <v>#NUM!</v>
      </c>
      <c r="I31" s="36" t="e">
        <f>10*LOG(10^((I$22-I$5-datablad!K8*IF(AND(Energy_label!$H$12&gt;-10,Energy_label!$H$12&lt;30),1,340/Energy_label!$Q$17))/10)+10^(I$24/10))+I$5</f>
        <v>#NUM!</v>
      </c>
      <c r="J31" s="36" t="e">
        <f>10*LOG(10^((J$22-J$5-datablad!L8*IF(AND(Energy_label!$H$12&gt;-10,Energy_label!$H$12&lt;30),1,340/Energy_label!$Q$17))/10)+10^(J$24/10))+J$5</f>
        <v>#NUM!</v>
      </c>
      <c r="K31" s="36" t="e">
        <f>10*LOG(10^((K$22-K$5-datablad!M8*IF(AND(Energy_label!$H$12&gt;-10,Energy_label!$H$12&lt;30),1,340/Energy_label!$Q$17))/10)+10^(K$24/10))+K$5</f>
        <v>#NUM!</v>
      </c>
      <c r="L31" s="36" t="e">
        <f>10*LOG(10^((L$22-L$5-datablad!N8*IF(AND(Energy_label!$H$12&gt;-10,Energy_label!$H$12&lt;30),1,340/Energy_label!$Q$17))/10)+10^(L$24/10))+L$5</f>
        <v>#NUM!</v>
      </c>
      <c r="M31" s="38" t="e">
        <f t="shared" si="4"/>
        <v>#NUM!</v>
      </c>
      <c r="N31" s="31" t="e">
        <f>IF(M31&lt;Energy_label!N$8,1,0)</f>
        <v>#NUM!</v>
      </c>
      <c r="O31" s="52" t="e">
        <f>0.5*Energy_label!$N$17*Energy_label!$G$17^2*O$25</f>
        <v>#NUM!</v>
      </c>
      <c r="P31" s="52" t="e">
        <f>0.5*Energy_label!$N$17*Energy_label!$G$17^2*P$5*B31/1000</f>
        <v>#NUM!</v>
      </c>
      <c r="Q31" s="52" t="e">
        <f>0.5*Energy_label!$N$17*Energy_label!$G$17^2*Q$25</f>
        <v>#NUM!</v>
      </c>
      <c r="R31" s="54" t="e">
        <f t="shared" si="5"/>
        <v>#NUM!</v>
      </c>
    </row>
    <row r="32" spans="1:28" x14ac:dyDescent="0.15">
      <c r="B32">
        <v>2000</v>
      </c>
      <c r="C32" s="36" t="e">
        <f>10*LOG(10^((C$22-C$5-datablad!E9*IF(AND(Energy_label!$H$12&gt;-10,Energy_label!$H$12&lt;30),1,340/Energy_label!$Q$17))/10)+10^(C$24/10))+C$5</f>
        <v>#NUM!</v>
      </c>
      <c r="D32" s="36" t="e">
        <f>10*LOG(10^((D$22-D$5-datablad!F9*IF(AND(Energy_label!$H$12&gt;-10,Energy_label!$H$12&lt;30),1,340/Energy_label!$Q$17))/10)+10^(D$24/10))+D$5</f>
        <v>#NUM!</v>
      </c>
      <c r="E32" s="36" t="e">
        <f>10*LOG(10^((E$22-E$5-datablad!G9*IF(AND(Energy_label!$H$12&gt;-10,Energy_label!$H$12&lt;30),1,340/Energy_label!$Q$17))/10)+10^(E$24/10))+E$5</f>
        <v>#NUM!</v>
      </c>
      <c r="F32" s="36" t="e">
        <f>10*LOG(10^((F$22-F$5-datablad!H9*IF(AND(Energy_label!$H$12&gt;-10,Energy_label!$H$12&lt;30),1,340/Energy_label!$Q$17))/10)+10^(F$24/10))+F$5</f>
        <v>#NUM!</v>
      </c>
      <c r="G32" s="36" t="e">
        <f>10*LOG(10^((G$22-G$5-datablad!I9*IF(AND(Energy_label!$H$12&gt;-10,Energy_label!$H$12&lt;30),1,340/Energy_label!$Q$17))/10)+10^(G$24/10))+G$5</f>
        <v>#NUM!</v>
      </c>
      <c r="H32" s="36" t="e">
        <f>10*LOG(10^((H$22-H$5-datablad!J9*IF(AND(Energy_label!$H$12&gt;-10,Energy_label!$H$12&lt;30),1,340/Energy_label!$Q$17))/10)+10^(H$24/10))+H$5</f>
        <v>#NUM!</v>
      </c>
      <c r="I32" s="36" t="e">
        <f>10*LOG(10^((I$22-I$5-datablad!K9*IF(AND(Energy_label!$H$12&gt;-10,Energy_label!$H$12&lt;30),1,340/Energy_label!$Q$17))/10)+10^(I$24/10))+I$5</f>
        <v>#NUM!</v>
      </c>
      <c r="J32" s="36" t="e">
        <f>10*LOG(10^((J$22-J$5-datablad!L9*IF(AND(Energy_label!$H$12&gt;-10,Energy_label!$H$12&lt;30),1,340/Energy_label!$Q$17))/10)+10^(J$24/10))+J$5</f>
        <v>#NUM!</v>
      </c>
      <c r="K32" s="36" t="e">
        <f>10*LOG(10^((K$22-K$5-datablad!M9*IF(AND(Energy_label!$H$12&gt;-10,Energy_label!$H$12&lt;30),1,340/Energy_label!$Q$17))/10)+10^(K$24/10))+K$5</f>
        <v>#NUM!</v>
      </c>
      <c r="L32" s="36" t="e">
        <f>10*LOG(10^((L$22-L$5-datablad!N9*IF(AND(Energy_label!$H$12&gt;-10,Energy_label!$H$12&lt;30),1,340/Energy_label!$Q$17))/10)+10^(L$24/10))+L$5</f>
        <v>#NUM!</v>
      </c>
      <c r="M32" s="38" t="e">
        <f t="shared" si="4"/>
        <v>#NUM!</v>
      </c>
      <c r="N32" s="31" t="e">
        <f>IF(M32&lt;Energy_label!N$8,1,0)</f>
        <v>#NUM!</v>
      </c>
      <c r="O32" s="52" t="e">
        <f>0.5*Energy_label!$N$17*Energy_label!$G$17^2*O$25</f>
        <v>#NUM!</v>
      </c>
      <c r="P32" s="52" t="e">
        <f>0.5*Energy_label!$N$17*Energy_label!$G$17^2*P$5*B32/1000</f>
        <v>#NUM!</v>
      </c>
      <c r="Q32" s="52" t="e">
        <f>0.5*Energy_label!$N$17*Energy_label!$G$17^2*Q$25</f>
        <v>#NUM!</v>
      </c>
      <c r="R32" s="54" t="e">
        <f t="shared" si="5"/>
        <v>#NUM!</v>
      </c>
      <c r="T32">
        <f>Energy_label!N8-5</f>
        <v>-5</v>
      </c>
    </row>
    <row r="33" spans="1:26" x14ac:dyDescent="0.15">
      <c r="B33">
        <v>2250</v>
      </c>
      <c r="C33" s="36" t="e">
        <f>10*LOG(10^((C$22-C$5-datablad!E10*IF(AND(Energy_label!$H$12&gt;-10,Energy_label!$H$12&lt;30),1,340/Energy_label!$Q$17))/10)+10^(C$24/10))+C$5</f>
        <v>#NUM!</v>
      </c>
      <c r="D33" s="36" t="e">
        <f>10*LOG(10^((D$22-D$5-datablad!F10*IF(AND(Energy_label!$H$12&gt;-10,Energy_label!$H$12&lt;30),1,340/Energy_label!$Q$17))/10)+10^(D$24/10))+D$5</f>
        <v>#NUM!</v>
      </c>
      <c r="E33" s="36" t="e">
        <f>10*LOG(10^((E$22-E$5-datablad!G10*IF(AND(Energy_label!$H$12&gt;-10,Energy_label!$H$12&lt;30),1,340/Energy_label!$Q$17))/10)+10^(E$24/10))+E$5</f>
        <v>#NUM!</v>
      </c>
      <c r="F33" s="36" t="e">
        <f>10*LOG(10^((F$22-F$5-datablad!H10*IF(AND(Energy_label!$H$12&gt;-10,Energy_label!$H$12&lt;30),1,340/Energy_label!$Q$17))/10)+10^(F$24/10))+F$5</f>
        <v>#NUM!</v>
      </c>
      <c r="G33" s="36" t="e">
        <f>10*LOG(10^((G$22-G$5-datablad!I10*IF(AND(Energy_label!$H$12&gt;-10,Energy_label!$H$12&lt;30),1,340/Energy_label!$Q$17))/10)+10^(G$24/10))+G$5</f>
        <v>#NUM!</v>
      </c>
      <c r="H33" s="36" t="e">
        <f>10*LOG(10^((H$22-H$5-datablad!J10*IF(AND(Energy_label!$H$12&gt;-10,Energy_label!$H$12&lt;30),1,340/Energy_label!$Q$17))/10)+10^(H$24/10))+H$5</f>
        <v>#NUM!</v>
      </c>
      <c r="I33" s="36" t="e">
        <f>10*LOG(10^((I$22-I$5-datablad!K10*IF(AND(Energy_label!$H$12&gt;-10,Energy_label!$H$12&lt;30),1,340/Energy_label!$Q$17))/10)+10^(I$24/10))+I$5</f>
        <v>#NUM!</v>
      </c>
      <c r="J33" s="36" t="e">
        <f>10*LOG(10^((J$22-J$5-datablad!L10*IF(AND(Energy_label!$H$12&gt;-10,Energy_label!$H$12&lt;30),1,340/Energy_label!$Q$17))/10)+10^(J$24/10))+J$5</f>
        <v>#NUM!</v>
      </c>
      <c r="K33" s="36" t="e">
        <f>10*LOG(10^((K$22-K$5-datablad!M10*IF(AND(Energy_label!$H$12&gt;-10,Energy_label!$H$12&lt;30),1,340/Energy_label!$Q$17))/10)+10^(K$24/10))+K$5</f>
        <v>#NUM!</v>
      </c>
      <c r="L33" s="36" t="e">
        <f>10*LOG(10^((L$22-L$5-datablad!N10*IF(AND(Energy_label!$H$12&gt;-10,Energy_label!$H$12&lt;30),1,340/Energy_label!$Q$17))/10)+10^(L$24/10))+L$5</f>
        <v>#NUM!</v>
      </c>
      <c r="M33" s="38" t="e">
        <f t="shared" si="4"/>
        <v>#NUM!</v>
      </c>
      <c r="N33" s="31" t="e">
        <f>IF(M33&lt;Energy_label!N$8,1,0)</f>
        <v>#NUM!</v>
      </c>
      <c r="O33" s="52" t="e">
        <f>0.5*Energy_label!$N$17*Energy_label!$G$17^2*O$25</f>
        <v>#NUM!</v>
      </c>
      <c r="P33" s="52" t="e">
        <f>0.5*Energy_label!$N$17*Energy_label!$G$17^2*P$5*B33/1000</f>
        <v>#NUM!</v>
      </c>
      <c r="Q33" s="52" t="e">
        <f>0.5*Energy_label!$N$17*Energy_label!$G$17^2*Q$25</f>
        <v>#NUM!</v>
      </c>
      <c r="R33" s="54" t="e">
        <f t="shared" si="5"/>
        <v>#NUM!</v>
      </c>
      <c r="X33" s="18">
        <f>Energy_label!Q17/338.1647</f>
        <v>0.98101426142412795</v>
      </c>
      <c r="Y33" s="19"/>
      <c r="Z33" s="20"/>
    </row>
    <row r="34" spans="1:26" x14ac:dyDescent="0.15">
      <c r="B34">
        <v>2500</v>
      </c>
      <c r="C34" s="36" t="e">
        <f>10*LOG(10^((C$22-C$5-datablad!E11*IF(AND(Energy_label!$H$12&gt;-10,Energy_label!$H$12&lt;30),1,340/Energy_label!$Q$17))/10)+10^(C$24/10))+C$5</f>
        <v>#NUM!</v>
      </c>
      <c r="D34" s="36" t="e">
        <f>10*LOG(10^((D$22-D$5-datablad!F11*IF(AND(Energy_label!$H$12&gt;-10,Energy_label!$H$12&lt;30),1,340/Energy_label!$Q$17))/10)+10^(D$24/10))+D$5</f>
        <v>#NUM!</v>
      </c>
      <c r="E34" s="36" t="e">
        <f>10*LOG(10^((E$22-E$5-datablad!G11*IF(AND(Energy_label!$H$12&gt;-10,Energy_label!$H$12&lt;30),1,340/Energy_label!$Q$17))/10)+10^(E$24/10))+E$5</f>
        <v>#NUM!</v>
      </c>
      <c r="F34" s="36" t="e">
        <f>10*LOG(10^((F$22-F$5-datablad!H11*IF(AND(Energy_label!$H$12&gt;-10,Energy_label!$H$12&lt;30),1,340/Energy_label!$Q$17))/10)+10^(F$24/10))+F$5</f>
        <v>#NUM!</v>
      </c>
      <c r="G34" s="36" t="e">
        <f>10*LOG(10^((G$22-G$5-datablad!I11*IF(AND(Energy_label!$H$12&gt;-10,Energy_label!$H$12&lt;30),1,340/Energy_label!$Q$17))/10)+10^(G$24/10))+G$5</f>
        <v>#NUM!</v>
      </c>
      <c r="H34" s="36" t="e">
        <f>10*LOG(10^((H$22-H$5-datablad!J11*IF(AND(Energy_label!$H$12&gt;-10,Energy_label!$H$12&lt;30),1,340/Energy_label!$Q$17))/10)+10^(H$24/10))+H$5</f>
        <v>#NUM!</v>
      </c>
      <c r="I34" s="36" t="e">
        <f>10*LOG(10^((I$22-I$5-datablad!K11*IF(AND(Energy_label!$H$12&gt;-10,Energy_label!$H$12&lt;30),1,340/Energy_label!$Q$17))/10)+10^(I$24/10))+I$5</f>
        <v>#NUM!</v>
      </c>
      <c r="J34" s="36" t="e">
        <f>10*LOG(10^((J$22-J$5-datablad!L11*IF(AND(Energy_label!$H$12&gt;-10,Energy_label!$H$12&lt;30),1,340/Energy_label!$Q$17))/10)+10^(J$24/10))+J$5</f>
        <v>#NUM!</v>
      </c>
      <c r="K34" s="36" t="e">
        <f>10*LOG(10^((K$22-K$5-datablad!M11*IF(AND(Energy_label!$H$12&gt;-10,Energy_label!$H$12&lt;30),1,340/Energy_label!$Q$17))/10)+10^(K$24/10))+K$5</f>
        <v>#NUM!</v>
      </c>
      <c r="L34" s="36" t="e">
        <f>10*LOG(10^((L$22-L$5-datablad!N11*IF(AND(Energy_label!$H$12&gt;-10,Energy_label!$H$12&lt;30),1,340/Energy_label!$Q$17))/10)+10^(L$24/10))+L$5</f>
        <v>#NUM!</v>
      </c>
      <c r="M34" s="38" t="e">
        <f t="shared" si="4"/>
        <v>#NUM!</v>
      </c>
      <c r="N34" s="31" t="e">
        <f>IF(M34&lt;Energy_label!N$8,1,0)</f>
        <v>#NUM!</v>
      </c>
      <c r="O34" s="52" t="e">
        <f>0.5*Energy_label!$N$17*Energy_label!$G$17^2*O$25</f>
        <v>#NUM!</v>
      </c>
      <c r="P34" s="52" t="e">
        <f>0.5*Energy_label!$N$17*Energy_label!$G$17^2*P$5*B34/1000</f>
        <v>#NUM!</v>
      </c>
      <c r="Q34" s="52" t="e">
        <f>0.5*Energy_label!$N$17*Energy_label!$G$17^2*Q$25</f>
        <v>#NUM!</v>
      </c>
      <c r="R34" s="54" t="e">
        <f t="shared" si="5"/>
        <v>#NUM!</v>
      </c>
      <c r="X34" s="21"/>
      <c r="Y34" s="5"/>
      <c r="Z34" s="22"/>
    </row>
    <row r="35" spans="1:26" x14ac:dyDescent="0.15">
      <c r="B35">
        <v>2750</v>
      </c>
      <c r="C35" s="36" t="e">
        <f>10*LOG(10^((C$22-C$5-datablad!E12*IF(AND(Energy_label!$H$12&gt;-10,Energy_label!$H$12&lt;30),1,340/Energy_label!$Q$17))/10)+10^(C$24/10))+C$5</f>
        <v>#NUM!</v>
      </c>
      <c r="D35" s="36" t="e">
        <f>10*LOG(10^((D$22-D$5-datablad!F12*IF(AND(Energy_label!$H$12&gt;-10,Energy_label!$H$12&lt;30),1,340/Energy_label!$Q$17))/10)+10^(D$24/10))+D$5</f>
        <v>#NUM!</v>
      </c>
      <c r="E35" s="36" t="e">
        <f>10*LOG(10^((E$22-E$5-datablad!G12*IF(AND(Energy_label!$H$12&gt;-10,Energy_label!$H$12&lt;30),1,340/Energy_label!$Q$17))/10)+10^(E$24/10))+E$5</f>
        <v>#NUM!</v>
      </c>
      <c r="F35" s="36" t="e">
        <f>10*LOG(10^((F$22-F$5-datablad!H12*IF(AND(Energy_label!$H$12&gt;-10,Energy_label!$H$12&lt;30),1,340/Energy_label!$Q$17))/10)+10^(F$24/10))+F$5</f>
        <v>#NUM!</v>
      </c>
      <c r="G35" s="36" t="e">
        <f>10*LOG(10^((G$22-G$5-datablad!I12*IF(AND(Energy_label!$H$12&gt;-10,Energy_label!$H$12&lt;30),1,340/Energy_label!$Q$17))/10)+10^(G$24/10))+G$5</f>
        <v>#NUM!</v>
      </c>
      <c r="H35" s="36" t="e">
        <f>10*LOG(10^((H$22-H$5-datablad!J12*IF(AND(Energy_label!$H$12&gt;-10,Energy_label!$H$12&lt;30),1,340/Energy_label!$Q$17))/10)+10^(H$24/10))+H$5</f>
        <v>#NUM!</v>
      </c>
      <c r="I35" s="36" t="e">
        <f>10*LOG(10^((I$22-I$5-datablad!K12*IF(AND(Energy_label!$H$12&gt;-10,Energy_label!$H$12&lt;30),1,340/Energy_label!$Q$17))/10)+10^(I$24/10))+I$5</f>
        <v>#NUM!</v>
      </c>
      <c r="J35" s="36" t="e">
        <f>10*LOG(10^((J$22-J$5-datablad!L12*IF(AND(Energy_label!$H$12&gt;-10,Energy_label!$H$12&lt;30),1,340/Energy_label!$Q$17))/10)+10^(J$24/10))+J$5</f>
        <v>#NUM!</v>
      </c>
      <c r="K35" s="36" t="e">
        <f>10*LOG(10^((K$22-K$5-datablad!M12*IF(AND(Energy_label!$H$12&gt;-10,Energy_label!$H$12&lt;30),1,340/Energy_label!$Q$17))/10)+10^(K$24/10))+K$5</f>
        <v>#NUM!</v>
      </c>
      <c r="L35" s="36" t="e">
        <f>10*LOG(10^((L$22-L$5-datablad!N12*IF(AND(Energy_label!$H$12&gt;-10,Energy_label!$H$12&lt;30),1,340/Energy_label!$Q$17))/10)+10^(L$24/10))+L$5</f>
        <v>#NUM!</v>
      </c>
      <c r="M35" s="38" t="e">
        <f t="shared" si="4"/>
        <v>#NUM!</v>
      </c>
      <c r="N35" s="31" t="e">
        <f>IF(M35&lt;Energy_label!N$8,1,0)</f>
        <v>#NUM!</v>
      </c>
      <c r="O35" s="52" t="e">
        <f>0.5*Energy_label!$N$17*Energy_label!$G$17^2*O$25</f>
        <v>#NUM!</v>
      </c>
      <c r="P35" s="52" t="e">
        <f>0.5*Energy_label!$N$17*Energy_label!$G$17^2*P$5*B35/1000</f>
        <v>#NUM!</v>
      </c>
      <c r="Q35" s="52" t="e">
        <f>0.5*Energy_label!$N$17*Energy_label!$G$17^2*Q$25</f>
        <v>#NUM!</v>
      </c>
      <c r="R35" s="54" t="e">
        <f t="shared" si="5"/>
        <v>#NUM!</v>
      </c>
      <c r="X35" s="21">
        <f>Energy_label!Q17/325.2134</f>
        <v>1.0200821780720346</v>
      </c>
      <c r="Y35" s="5"/>
      <c r="Z35" s="22"/>
    </row>
    <row r="36" spans="1:26" x14ac:dyDescent="0.15">
      <c r="B36">
        <v>3000</v>
      </c>
      <c r="C36" s="36" t="e">
        <f>10*LOG(10^((C$22-C$5-datablad!E13*IF(AND(Energy_label!$H$12&gt;-10,Energy_label!$H$12&lt;30),1,340/Energy_label!$Q$17))/10)+10^(C$24/10))+C$5</f>
        <v>#NUM!</v>
      </c>
      <c r="D36" s="36" t="e">
        <f>10*LOG(10^((D$22-D$5-datablad!F13*IF(AND(Energy_label!$H$12&gt;-10,Energy_label!$H$12&lt;30),1,340/Energy_label!$Q$17))/10)+10^(D$24/10))+D$5</f>
        <v>#NUM!</v>
      </c>
      <c r="E36" s="36" t="e">
        <f>10*LOG(10^((E$22-E$5-datablad!G13*IF(AND(Energy_label!$H$12&gt;-10,Energy_label!$H$12&lt;30),1,340/Energy_label!$Q$17))/10)+10^(E$24/10))+E$5</f>
        <v>#NUM!</v>
      </c>
      <c r="F36" s="36" t="e">
        <f>10*LOG(10^((F$22-F$5-datablad!H13*IF(AND(Energy_label!$H$12&gt;-10,Energy_label!$H$12&lt;30),1,340/Energy_label!$Q$17))/10)+10^(F$24/10))+F$5</f>
        <v>#NUM!</v>
      </c>
      <c r="G36" s="36" t="e">
        <f>10*LOG(10^((G$22-G$5-datablad!I13*IF(AND(Energy_label!$H$12&gt;-10,Energy_label!$H$12&lt;30),1,340/Energy_label!$Q$17))/10)+10^(G$24/10))+G$5</f>
        <v>#NUM!</v>
      </c>
      <c r="H36" s="36" t="e">
        <f>10*LOG(10^((H$22-H$5-datablad!J13*IF(AND(Energy_label!$H$12&gt;-10,Energy_label!$H$12&lt;30),1,340/Energy_label!$Q$17))/10)+10^(H$24/10))+H$5</f>
        <v>#NUM!</v>
      </c>
      <c r="I36" s="36" t="e">
        <f>10*LOG(10^((I$22-I$5-datablad!K13*IF(AND(Energy_label!$H$12&gt;-10,Energy_label!$H$12&lt;30),1,340/Energy_label!$Q$17))/10)+10^(I$24/10))+I$5</f>
        <v>#NUM!</v>
      </c>
      <c r="J36" s="36" t="e">
        <f>10*LOG(10^((J$22-J$5-datablad!L13*IF(AND(Energy_label!$H$12&gt;-10,Energy_label!$H$12&lt;30),1,340/Energy_label!$Q$17))/10)+10^(J$24/10))+J$5</f>
        <v>#NUM!</v>
      </c>
      <c r="K36" s="36" t="e">
        <f>10*LOG(10^((K$22-K$5-datablad!M13*IF(AND(Energy_label!$H$12&gt;-10,Energy_label!$H$12&lt;30),1,340/Energy_label!$Q$17))/10)+10^(K$24/10))+K$5</f>
        <v>#NUM!</v>
      </c>
      <c r="L36" s="36" t="e">
        <f>10*LOG(10^((L$22-L$5-datablad!N13*IF(AND(Energy_label!$H$12&gt;-10,Energy_label!$H$12&lt;30),1,340/Energy_label!$Q$17))/10)+10^(L$24/10))+L$5</f>
        <v>#NUM!</v>
      </c>
      <c r="M36" s="38" t="e">
        <f t="shared" si="4"/>
        <v>#NUM!</v>
      </c>
      <c r="N36" s="31" t="e">
        <f>IF(M36&lt;Energy_label!N$8,1,0)</f>
        <v>#NUM!</v>
      </c>
      <c r="O36" s="52" t="e">
        <f>0.5*Energy_label!$N$17*Energy_label!$G$17^2*O$25</f>
        <v>#NUM!</v>
      </c>
      <c r="P36" s="52" t="e">
        <f>0.5*Energy_label!$N$17*Energy_label!$G$17^2*P$5*B36/1000</f>
        <v>#NUM!</v>
      </c>
      <c r="Q36" s="52" t="e">
        <f>0.5*Energy_label!$N$17*Energy_label!$G$17^2*Q$25</f>
        <v>#NUM!</v>
      </c>
      <c r="R36" s="54" t="e">
        <f t="shared" si="5"/>
        <v>#NUM!</v>
      </c>
      <c r="X36" s="21"/>
      <c r="Y36" s="5"/>
      <c r="Z36" s="22"/>
    </row>
    <row r="37" spans="1:26" x14ac:dyDescent="0.15">
      <c r="B37">
        <v>3250</v>
      </c>
      <c r="C37" s="36" t="e">
        <f>10*LOG(10^((C$22-C$5-datablad!E14*IF(AND(Energy_label!$H$12&gt;-10,Energy_label!$H$12&lt;30),1,340/Energy_label!$Q$17))/10)+10^(C$24/10))+C$5</f>
        <v>#NUM!</v>
      </c>
      <c r="D37" s="36" t="e">
        <f>10*LOG(10^((D$22-D$5-datablad!F14*IF(AND(Energy_label!$H$12&gt;-10,Energy_label!$H$12&lt;30),1,340/Energy_label!$Q$17))/10)+10^(D$24/10))+D$5</f>
        <v>#NUM!</v>
      </c>
      <c r="E37" s="36" t="e">
        <f>10*LOG(10^((E$22-E$5-datablad!G14*IF(AND(Energy_label!$H$12&gt;-10,Energy_label!$H$12&lt;30),1,340/Energy_label!$Q$17))/10)+10^(E$24/10))+E$5</f>
        <v>#NUM!</v>
      </c>
      <c r="F37" s="36" t="e">
        <f>10*LOG(10^((F$22-F$5-datablad!H14*IF(AND(Energy_label!$H$12&gt;-10,Energy_label!$H$12&lt;30),1,340/Energy_label!$Q$17))/10)+10^(F$24/10))+F$5</f>
        <v>#NUM!</v>
      </c>
      <c r="G37" s="36" t="e">
        <f>10*LOG(10^((G$22-G$5-datablad!I14*IF(AND(Energy_label!$H$12&gt;-10,Energy_label!$H$12&lt;30),1,340/Energy_label!$Q$17))/10)+10^(G$24/10))+G$5</f>
        <v>#NUM!</v>
      </c>
      <c r="H37" s="36" t="e">
        <f>10*LOG(10^((H$22-H$5-datablad!J14*IF(AND(Energy_label!$H$12&gt;-10,Energy_label!$H$12&lt;30),1,340/Energy_label!$Q$17))/10)+10^(H$24/10))+H$5</f>
        <v>#NUM!</v>
      </c>
      <c r="I37" s="36" t="e">
        <f>10*LOG(10^((I$22-I$5-datablad!K14*IF(AND(Energy_label!$H$12&gt;-10,Energy_label!$H$12&lt;30),1,340/Energy_label!$Q$17))/10)+10^(I$24/10))+I$5</f>
        <v>#NUM!</v>
      </c>
      <c r="J37" s="36" t="e">
        <f>10*LOG(10^((J$22-J$5-datablad!L14*IF(AND(Energy_label!$H$12&gt;-10,Energy_label!$H$12&lt;30),1,340/Energy_label!$Q$17))/10)+10^(J$24/10))+J$5</f>
        <v>#NUM!</v>
      </c>
      <c r="K37" s="36" t="e">
        <f>10*LOG(10^((K$22-K$5-datablad!M14*IF(AND(Energy_label!$H$12&gt;-10,Energy_label!$H$12&lt;30),1,340/Energy_label!$Q$17))/10)+10^(K$24/10))+K$5</f>
        <v>#NUM!</v>
      </c>
      <c r="L37" s="36" t="e">
        <f>10*LOG(10^((L$22-L$5-datablad!N14*IF(AND(Energy_label!$H$12&gt;-10,Energy_label!$H$12&lt;30),1,340/Energy_label!$Q$17))/10)+10^(L$24/10))+L$5</f>
        <v>#NUM!</v>
      </c>
      <c r="M37" s="38" t="e">
        <f t="shared" si="4"/>
        <v>#NUM!</v>
      </c>
      <c r="N37" s="31" t="e">
        <f>IF(M37&lt;Energy_label!N$8,1,0)</f>
        <v>#NUM!</v>
      </c>
      <c r="O37" s="52" t="e">
        <f>0.5*Energy_label!$N$17*Energy_label!$G$17^2*O$25</f>
        <v>#NUM!</v>
      </c>
      <c r="P37" s="52" t="e">
        <f>0.5*Energy_label!$N$17*Energy_label!$G$17^2*P$5*B37/1000</f>
        <v>#NUM!</v>
      </c>
      <c r="Q37" s="52" t="e">
        <f>0.5*Energy_label!$N$17*Energy_label!$G$17^2*Q$25</f>
        <v>#NUM!</v>
      </c>
      <c r="R37" s="54" t="e">
        <f t="shared" si="5"/>
        <v>#NUM!</v>
      </c>
      <c r="X37" s="21">
        <f>Energy_label!Q17/350.6954</f>
        <v>0.94596163340098494</v>
      </c>
      <c r="Y37" s="5">
        <f>X33/X37</f>
        <v>1.0370550208226939</v>
      </c>
      <c r="Z37" s="23">
        <f>X35/X33</f>
        <v>1.0398240047919305</v>
      </c>
    </row>
    <row r="38" spans="1:26" x14ac:dyDescent="0.15">
      <c r="B38">
        <v>3500</v>
      </c>
      <c r="C38" s="36" t="e">
        <f>10*LOG(10^((C$22-C$5-datablad!E15*IF(AND(Energy_label!$H$12&gt;-10,Energy_label!$H$12&lt;30),1,340/Energy_label!$Q$17))/10)+10^(C$24/10))+C$5</f>
        <v>#NUM!</v>
      </c>
      <c r="D38" s="36" t="e">
        <f>10*LOG(10^((D$22-D$5-datablad!F15*IF(AND(Energy_label!$H$12&gt;-10,Energy_label!$H$12&lt;30),1,340/Energy_label!$Q$17))/10)+10^(D$24/10))+D$5</f>
        <v>#NUM!</v>
      </c>
      <c r="E38" s="36" t="e">
        <f>10*LOG(10^((E$22-E$5-datablad!G15*IF(AND(Energy_label!$H$12&gt;-10,Energy_label!$H$12&lt;30),1,340/Energy_label!$Q$17))/10)+10^(E$24/10))+E$5</f>
        <v>#NUM!</v>
      </c>
      <c r="F38" s="36" t="e">
        <f>10*LOG(10^((F$22-F$5-datablad!H15*IF(AND(Energy_label!$H$12&gt;-10,Energy_label!$H$12&lt;30),1,340/Energy_label!$Q$17))/10)+10^(F$24/10))+F$5</f>
        <v>#NUM!</v>
      </c>
      <c r="G38" s="36" t="e">
        <f>10*LOG(10^((G$22-G$5-datablad!I15*IF(AND(Energy_label!$H$12&gt;-10,Energy_label!$H$12&lt;30),1,340/Energy_label!$Q$17))/10)+10^(G$24/10))+G$5</f>
        <v>#NUM!</v>
      </c>
      <c r="H38" s="36" t="e">
        <f>10*LOG(10^((H$22-H$5-datablad!J15*IF(AND(Energy_label!$H$12&gt;-10,Energy_label!$H$12&lt;30),1,340/Energy_label!$Q$17))/10)+10^(H$24/10))+H$5</f>
        <v>#NUM!</v>
      </c>
      <c r="I38" s="36" t="e">
        <f>10*LOG(10^((I$22-I$5-datablad!K15*IF(AND(Energy_label!$H$12&gt;-10,Energy_label!$H$12&lt;30),1,340/Energy_label!$Q$17))/10)+10^(I$24/10))+I$5</f>
        <v>#NUM!</v>
      </c>
      <c r="J38" s="36" t="e">
        <f>10*LOG(10^((J$22-J$5-datablad!L15*IF(AND(Energy_label!$H$12&gt;-10,Energy_label!$H$12&lt;30),1,340/Energy_label!$Q$17))/10)+10^(J$24/10))+J$5</f>
        <v>#NUM!</v>
      </c>
      <c r="K38" s="36" t="e">
        <f>10*LOG(10^((K$22-K$5-datablad!M15*IF(AND(Energy_label!$H$12&gt;-10,Energy_label!$H$12&lt;30),1,340/Energy_label!$Q$17))/10)+10^(K$24/10))+K$5</f>
        <v>#NUM!</v>
      </c>
      <c r="L38" s="36" t="e">
        <f>10*LOG(10^((L$22-L$5-datablad!N15*IF(AND(Energy_label!$H$12&gt;-10,Energy_label!$H$12&lt;30),1,340/Energy_label!$Q$17))/10)+10^(L$24/10))+L$5</f>
        <v>#NUM!</v>
      </c>
      <c r="M38" s="38" t="e">
        <f t="shared" si="4"/>
        <v>#NUM!</v>
      </c>
      <c r="N38" s="31" t="e">
        <f>IF(M38&lt;Energy_label!N$8,1,0)</f>
        <v>#NUM!</v>
      </c>
      <c r="O38" s="52" t="e">
        <f>0.5*Energy_label!$N$17*Energy_label!$G$17^2*O$25</f>
        <v>#NUM!</v>
      </c>
      <c r="P38" s="52" t="e">
        <f>0.5*Energy_label!$N$17*Energy_label!$G$17^2*P$5*B38/1000</f>
        <v>#NUM!</v>
      </c>
      <c r="Q38" s="52" t="e">
        <f>0.5*Energy_label!$N$17*Energy_label!$G$17^2*Q$25</f>
        <v>#NUM!</v>
      </c>
      <c r="R38" s="54" t="e">
        <f t="shared" si="5"/>
        <v>#NUM!</v>
      </c>
      <c r="U38" t="s">
        <v>51</v>
      </c>
      <c r="X38" s="21"/>
      <c r="Y38" s="5"/>
      <c r="Z38" s="22"/>
    </row>
    <row r="39" spans="1:26" x14ac:dyDescent="0.15">
      <c r="B39">
        <v>3750</v>
      </c>
      <c r="C39" s="36" t="e">
        <f>10*LOG(10^((C$22-C$5-datablad!E16*IF(AND(Energy_label!$H$12&gt;-10,Energy_label!$H$12&lt;30),1,340/Energy_label!$Q$17))/10)+10^(C$24/10))+C$5</f>
        <v>#NUM!</v>
      </c>
      <c r="D39" s="36" t="e">
        <f>10*LOG(10^((D$22-D$5-datablad!F16*IF(AND(Energy_label!$H$12&gt;-10,Energy_label!$H$12&lt;30),1,340/Energy_label!$Q$17))/10)+10^(D$24/10))+D$5</f>
        <v>#NUM!</v>
      </c>
      <c r="E39" s="36" t="e">
        <f>10*LOG(10^((E$22-E$5-datablad!G16*IF(AND(Energy_label!$H$12&gt;-10,Energy_label!$H$12&lt;30),1,340/Energy_label!$Q$17))/10)+10^(E$24/10))+E$5</f>
        <v>#NUM!</v>
      </c>
      <c r="F39" s="36" t="e">
        <f>10*LOG(10^((F$22-F$5-datablad!H16*IF(AND(Energy_label!$H$12&gt;-10,Energy_label!$H$12&lt;30),1,340/Energy_label!$Q$17))/10)+10^(F$24/10))+F$5</f>
        <v>#NUM!</v>
      </c>
      <c r="G39" s="36" t="e">
        <f>10*LOG(10^((G$22-G$5-datablad!I16*IF(AND(Energy_label!$H$12&gt;-10,Energy_label!$H$12&lt;30),1,340/Energy_label!$Q$17))/10)+10^(G$24/10))+G$5</f>
        <v>#NUM!</v>
      </c>
      <c r="H39" s="36" t="e">
        <f>10*LOG(10^((H$22-H$5-datablad!J16*IF(AND(Energy_label!$H$12&gt;-10,Energy_label!$H$12&lt;30),1,340/Energy_label!$Q$17))/10)+10^(H$24/10))+H$5</f>
        <v>#NUM!</v>
      </c>
      <c r="I39" s="36" t="e">
        <f>10*LOG(10^((I$22-I$5-datablad!K16*IF(AND(Energy_label!$H$12&gt;-10,Energy_label!$H$12&lt;30),1,340/Energy_label!$Q$17))/10)+10^(I$24/10))+I$5</f>
        <v>#NUM!</v>
      </c>
      <c r="J39" s="36" t="e">
        <f>10*LOG(10^((J$22-J$5-datablad!L16*IF(AND(Energy_label!$H$12&gt;-10,Energy_label!$H$12&lt;30),1,340/Energy_label!$Q$17))/10)+10^(J$24/10))+J$5</f>
        <v>#NUM!</v>
      </c>
      <c r="K39" s="36" t="e">
        <f>10*LOG(10^((K$22-K$5-datablad!M16*IF(AND(Energy_label!$H$12&gt;-10,Energy_label!$H$12&lt;30),1,340/Energy_label!$Q$17))/10)+10^(K$24/10))+K$5</f>
        <v>#NUM!</v>
      </c>
      <c r="L39" s="36" t="e">
        <f>10*LOG(10^((L$22-L$5-datablad!N16*IF(AND(Energy_label!$H$12&gt;-10,Energy_label!$H$12&lt;30),1,340/Energy_label!$Q$17))/10)+10^(L$24/10))+L$5</f>
        <v>#NUM!</v>
      </c>
      <c r="M39" s="38" t="e">
        <f t="shared" si="4"/>
        <v>#NUM!</v>
      </c>
      <c r="N39" s="31" t="e">
        <f>IF(M39&lt;Energy_label!N$8,1,0)</f>
        <v>#NUM!</v>
      </c>
      <c r="O39" s="52" t="e">
        <f>0.5*Energy_label!$N$17*Energy_label!$G$17^2*O$25</f>
        <v>#NUM!</v>
      </c>
      <c r="P39" s="52" t="e">
        <f>0.5*Energy_label!$N$17*Energy_label!$G$17^2*P$5*B39/1000</f>
        <v>#NUM!</v>
      </c>
      <c r="Q39" s="52" t="e">
        <f>0.5*Energy_label!$N$17*Energy_label!$G$17^2*Q$25</f>
        <v>#NUM!</v>
      </c>
      <c r="R39" s="54" t="e">
        <f t="shared" si="5"/>
        <v>#NUM!</v>
      </c>
      <c r="X39" s="21"/>
      <c r="Y39" s="5"/>
      <c r="Z39" s="22"/>
    </row>
    <row r="40" spans="1:26" x14ac:dyDescent="0.15">
      <c r="B40">
        <v>4000</v>
      </c>
      <c r="C40" s="36" t="e">
        <f>10*LOG(10^((C$22-C$5-datablad!E17*IF(AND(Energy_label!$H$12&gt;-10,Energy_label!$H$12&lt;30),1,340/Energy_label!$Q$17))/10)+10^(C$24/10))+C$5</f>
        <v>#NUM!</v>
      </c>
      <c r="D40" s="36" t="e">
        <f>10*LOG(10^((D$22-D$5-datablad!F17*IF(AND(Energy_label!$H$12&gt;-10,Energy_label!$H$12&lt;30),1,340/Energy_label!$Q$17))/10)+10^(D$24/10))+D$5</f>
        <v>#NUM!</v>
      </c>
      <c r="E40" s="36" t="e">
        <f>10*LOG(10^((E$22-E$5-datablad!G17*IF(AND(Energy_label!$H$12&gt;-10,Energy_label!$H$12&lt;30),1,340/Energy_label!$Q$17))/10)+10^(E$24/10))+E$5</f>
        <v>#NUM!</v>
      </c>
      <c r="F40" s="36" t="e">
        <f>10*LOG(10^((F$22-F$5-datablad!H17*IF(AND(Energy_label!$H$12&gt;-10,Energy_label!$H$12&lt;30),1,340/Energy_label!$Q$17))/10)+10^(F$24/10))+F$5</f>
        <v>#NUM!</v>
      </c>
      <c r="G40" s="36" t="e">
        <f>10*LOG(10^((G$22-G$5-datablad!I17*IF(AND(Energy_label!$H$12&gt;-10,Energy_label!$H$12&lt;30),1,340/Energy_label!$Q$17))/10)+10^(G$24/10))+G$5</f>
        <v>#NUM!</v>
      </c>
      <c r="H40" s="36" t="e">
        <f>10*LOG(10^((H$22-H$5-datablad!J17*IF(AND(Energy_label!$H$12&gt;-10,Energy_label!$H$12&lt;30),1,340/Energy_label!$Q$17))/10)+10^(H$24/10))+H$5</f>
        <v>#NUM!</v>
      </c>
      <c r="I40" s="36" t="e">
        <f>10*LOG(10^((I$22-I$5-datablad!K17*IF(AND(Energy_label!$H$12&gt;-10,Energy_label!$H$12&lt;30),1,340/Energy_label!$Q$17))/10)+10^(I$24/10))+I$5</f>
        <v>#NUM!</v>
      </c>
      <c r="J40" s="36" t="e">
        <f>10*LOG(10^((J$22-J$5-datablad!L17*IF(AND(Energy_label!$H$12&gt;-10,Energy_label!$H$12&lt;30),1,340/Energy_label!$Q$17))/10)+10^(J$24/10))+J$5</f>
        <v>#NUM!</v>
      </c>
      <c r="K40" s="36" t="e">
        <f>10*LOG(10^((K$22-K$5-datablad!M17*IF(AND(Energy_label!$H$12&gt;-10,Energy_label!$H$12&lt;30),1,340/Energy_label!$Q$17))/10)+10^(K$24/10))+K$5</f>
        <v>#NUM!</v>
      </c>
      <c r="L40" s="36" t="e">
        <f>10*LOG(10^((L$22-L$5-datablad!N17*IF(AND(Energy_label!$H$12&gt;-10,Energy_label!$H$12&lt;30),1,340/Energy_label!$Q$17))/10)+10^(L$24/10))+L$5</f>
        <v>#NUM!</v>
      </c>
      <c r="M40" s="38" t="e">
        <f t="shared" si="4"/>
        <v>#NUM!</v>
      </c>
      <c r="N40" s="31" t="e">
        <f>IF(M40&lt;Energy_label!N$8,1,0)</f>
        <v>#NUM!</v>
      </c>
      <c r="O40" s="52" t="e">
        <f>0.5*Energy_label!$N$17*Energy_label!$G$17^2*O$25</f>
        <v>#NUM!</v>
      </c>
      <c r="P40" s="52" t="e">
        <f>0.5*Energy_label!$N$17*Energy_label!$G$17^2*P$5*B40/1000</f>
        <v>#NUM!</v>
      </c>
      <c r="Q40" s="52" t="e">
        <f>0.5*Energy_label!$N$17*Energy_label!$G$17^2*Q$25</f>
        <v>#NUM!</v>
      </c>
      <c r="R40" s="54" t="e">
        <f t="shared" si="5"/>
        <v>#NUM!</v>
      </c>
      <c r="U40" t="s">
        <v>52</v>
      </c>
      <c r="X40" s="21"/>
      <c r="Y40" s="5"/>
      <c r="Z40" s="22"/>
    </row>
    <row r="41" spans="1:26" x14ac:dyDescent="0.15">
      <c r="B41">
        <v>4250</v>
      </c>
      <c r="C41" s="36" t="e">
        <f>10*LOG(10^((C$22-C$5-datablad!E18*IF(AND(Energy_label!$H$12&gt;-10,Energy_label!$H$12&lt;30),1,340/Energy_label!$Q$17))/10)+10^(C$24/10))+C$5</f>
        <v>#NUM!</v>
      </c>
      <c r="D41" s="36" t="e">
        <f>10*LOG(10^((D$22-D$5-datablad!F18*IF(AND(Energy_label!$H$12&gt;-10,Energy_label!$H$12&lt;30),1,340/Energy_label!$Q$17))/10)+10^(D$24/10))+D$5</f>
        <v>#NUM!</v>
      </c>
      <c r="E41" s="36" t="e">
        <f>10*LOG(10^((E$22-E$5-datablad!G18*IF(AND(Energy_label!$H$12&gt;-10,Energy_label!$H$12&lt;30),1,340/Energy_label!$Q$17))/10)+10^(E$24/10))+E$5</f>
        <v>#NUM!</v>
      </c>
      <c r="F41" s="36" t="e">
        <f>10*LOG(10^((F$22-F$5-datablad!H18*IF(AND(Energy_label!$H$12&gt;-10,Energy_label!$H$12&lt;30),1,340/Energy_label!$Q$17))/10)+10^(F$24/10))+F$5</f>
        <v>#NUM!</v>
      </c>
      <c r="G41" s="36" t="e">
        <f>10*LOG(10^((G$22-G$5-datablad!I18*IF(AND(Energy_label!$H$12&gt;-10,Energy_label!$H$12&lt;30),1,340/Energy_label!$Q$17))/10)+10^(G$24/10))+G$5</f>
        <v>#NUM!</v>
      </c>
      <c r="H41" s="36" t="e">
        <f>10*LOG(10^((H$22-H$5-datablad!J18*IF(AND(Energy_label!$H$12&gt;-10,Energy_label!$H$12&lt;30),1,340/Energy_label!$Q$17))/10)+10^(H$24/10))+H$5</f>
        <v>#NUM!</v>
      </c>
      <c r="I41" s="36" t="e">
        <f>10*LOG(10^((I$22-I$5-datablad!K18*IF(AND(Energy_label!$H$12&gt;-10,Energy_label!$H$12&lt;30),1,340/Energy_label!$Q$17))/10)+10^(I$24/10))+I$5</f>
        <v>#NUM!</v>
      </c>
      <c r="J41" s="36" t="e">
        <f>10*LOG(10^((J$22-J$5-datablad!L18*IF(AND(Energy_label!$H$12&gt;-10,Energy_label!$H$12&lt;30),1,340/Energy_label!$Q$17))/10)+10^(J$24/10))+J$5</f>
        <v>#NUM!</v>
      </c>
      <c r="K41" s="36" t="e">
        <f>10*LOG(10^((K$22-K$5-datablad!M18*IF(AND(Energy_label!$H$12&gt;-10,Energy_label!$H$12&lt;30),1,340/Energy_label!$Q$17))/10)+10^(K$24/10))+K$5</f>
        <v>#NUM!</v>
      </c>
      <c r="L41" s="36" t="e">
        <f>10*LOG(10^((L$22-L$5-datablad!N18*IF(AND(Energy_label!$H$12&gt;-10,Energy_label!$H$12&lt;30),1,340/Energy_label!$Q$17))/10)+10^(L$24/10))+L$5</f>
        <v>#NUM!</v>
      </c>
      <c r="M41" s="38" t="e">
        <f t="shared" si="4"/>
        <v>#NUM!</v>
      </c>
      <c r="N41" s="31" t="e">
        <f>IF(M41&lt;Energy_label!N$8,1,0)</f>
        <v>#NUM!</v>
      </c>
      <c r="O41" s="52" t="e">
        <f>0.5*Energy_label!$N$17*Energy_label!$G$17^2*O$25</f>
        <v>#NUM!</v>
      </c>
      <c r="P41" s="52" t="e">
        <f>0.5*Energy_label!$N$17*Energy_label!$G$17^2*P$5*B41/1000</f>
        <v>#NUM!</v>
      </c>
      <c r="Q41" s="52" t="e">
        <f>0.5*Energy_label!$N$17*Energy_label!$G$17^2*Q$25</f>
        <v>#NUM!</v>
      </c>
      <c r="R41" s="54" t="e">
        <f t="shared" si="5"/>
        <v>#NUM!</v>
      </c>
      <c r="X41" s="21"/>
      <c r="Y41" s="5"/>
      <c r="Z41" s="22"/>
    </row>
    <row r="42" spans="1:26" ht="12" thickBot="1" x14ac:dyDescent="0.2">
      <c r="B42">
        <v>4500</v>
      </c>
      <c r="C42" s="36" t="e">
        <f>10*LOG(10^((C$22-C$5-datablad!E19*IF(AND(Energy_label!$H$12&gt;-10,Energy_label!$H$12&lt;30),1,340/Energy_label!$Q$17))/10)+10^(C$24/10))+C$5</f>
        <v>#NUM!</v>
      </c>
      <c r="D42" s="36" t="e">
        <f>10*LOG(10^((D$22-D$5-datablad!F19*IF(AND(Energy_label!$H$12&gt;-10,Energy_label!$H$12&lt;30),1,340/Energy_label!$Q$17))/10)+10^(D$24/10))+D$5</f>
        <v>#NUM!</v>
      </c>
      <c r="E42" s="36" t="e">
        <f>10*LOG(10^((E$22-E$5-datablad!G19*IF(AND(Energy_label!$H$12&gt;-10,Energy_label!$H$12&lt;30),1,340/Energy_label!$Q$17))/10)+10^(E$24/10))+E$5</f>
        <v>#NUM!</v>
      </c>
      <c r="F42" s="36" t="e">
        <f>10*LOG(10^((F$22-F$5-datablad!H19*IF(AND(Energy_label!$H$12&gt;-10,Energy_label!$H$12&lt;30),1,340/Energy_label!$Q$17))/10)+10^(F$24/10))+F$5</f>
        <v>#NUM!</v>
      </c>
      <c r="G42" s="36" t="e">
        <f>10*LOG(10^((G$22-G$5-datablad!I19*IF(AND(Energy_label!$H$12&gt;-10,Energy_label!$H$12&lt;30),1,340/Energy_label!$Q$17))/10)+10^(G$24/10))+G$5</f>
        <v>#NUM!</v>
      </c>
      <c r="H42" s="36" t="e">
        <f>10*LOG(10^((H$22-H$5-datablad!J19*IF(AND(Energy_label!$H$12&gt;-10,Energy_label!$H$12&lt;30),1,340/Energy_label!$Q$17))/10)+10^(H$24/10))+H$5</f>
        <v>#NUM!</v>
      </c>
      <c r="I42" s="36" t="e">
        <f>10*LOG(10^((I$22-I$5-datablad!K19*IF(AND(Energy_label!$H$12&gt;-10,Energy_label!$H$12&lt;30),1,340/Energy_label!$Q$17))/10)+10^(I$24/10))+I$5</f>
        <v>#NUM!</v>
      </c>
      <c r="J42" s="36" t="e">
        <f>10*LOG(10^((J$22-J$5-datablad!L19*IF(AND(Energy_label!$H$12&gt;-10,Energy_label!$H$12&lt;30),1,340/Energy_label!$Q$17))/10)+10^(J$24/10))+J$5</f>
        <v>#NUM!</v>
      </c>
      <c r="K42" s="36" t="e">
        <f>10*LOG(10^((K$22-K$5-datablad!M19*IF(AND(Energy_label!$H$12&gt;-10,Energy_label!$H$12&lt;30),1,340/Energy_label!$Q$17))/10)+10^(K$24/10))+K$5</f>
        <v>#NUM!</v>
      </c>
      <c r="L42" s="36" t="e">
        <f>10*LOG(10^((L$22-L$5-datablad!N19*IF(AND(Energy_label!$H$12&gt;-10,Energy_label!$H$12&lt;30),1,340/Energy_label!$Q$17))/10)+10^(L$24/10))+L$5</f>
        <v>#NUM!</v>
      </c>
      <c r="M42" s="39" t="e">
        <f t="shared" si="4"/>
        <v>#NUM!</v>
      </c>
      <c r="N42" s="31" t="e">
        <f>IF(M42&lt;Energy_label!N$8,1,0)</f>
        <v>#NUM!</v>
      </c>
      <c r="O42" s="52" t="e">
        <f>0.5*Energy_label!$N$17*Energy_label!$G$17^2*O$25</f>
        <v>#NUM!</v>
      </c>
      <c r="P42" s="52" t="e">
        <f>0.5*Energy_label!$N$17*Energy_label!$G$17^2*P$5*B42/1000</f>
        <v>#NUM!</v>
      </c>
      <c r="Q42" s="52" t="e">
        <f>0.5*Energy_label!$N$17*Energy_label!$G$17^2*Q$25</f>
        <v>#NUM!</v>
      </c>
      <c r="R42" s="55" t="e">
        <f t="shared" si="5"/>
        <v>#NUM!</v>
      </c>
      <c r="X42" s="21">
        <f>((273.15+Energy_label!H12)/290)^(1.401/(0.401))</f>
        <v>0.81128472502296456</v>
      </c>
      <c r="Y42" s="5"/>
      <c r="Z42" s="22"/>
    </row>
    <row r="43" spans="1:26" ht="15" x14ac:dyDescent="0.25">
      <c r="C43" s="31" t="e">
        <f>C24</f>
        <v>#NUM!</v>
      </c>
      <c r="D43" s="31" t="e">
        <f t="shared" ref="D43:L43" si="6">D24</f>
        <v>#NUM!</v>
      </c>
      <c r="E43" s="31" t="e">
        <f t="shared" si="6"/>
        <v>#NUM!</v>
      </c>
      <c r="F43" s="31" t="e">
        <f t="shared" si="6"/>
        <v>#NUM!</v>
      </c>
      <c r="G43" s="31" t="e">
        <f t="shared" si="6"/>
        <v>#NUM!</v>
      </c>
      <c r="H43" s="31" t="e">
        <f t="shared" si="6"/>
        <v>#NUM!</v>
      </c>
      <c r="I43" s="31" t="e">
        <f t="shared" si="6"/>
        <v>#NUM!</v>
      </c>
      <c r="J43" s="31" t="e">
        <f t="shared" si="6"/>
        <v>#NUM!</v>
      </c>
      <c r="K43" s="31" t="e">
        <f t="shared" si="6"/>
        <v>#NUM!</v>
      </c>
      <c r="L43" s="31" t="e">
        <f t="shared" si="6"/>
        <v>#NUM!</v>
      </c>
      <c r="M43" s="31" t="e">
        <f t="shared" si="4"/>
        <v>#NUM!</v>
      </c>
      <c r="N43" s="31"/>
      <c r="O43" s="31"/>
      <c r="P43" s="31"/>
      <c r="Q43" s="31"/>
      <c r="R43" s="31"/>
      <c r="X43" s="24"/>
      <c r="Y43" s="5"/>
      <c r="Z43" s="22"/>
    </row>
    <row r="44" spans="1:26" ht="15" x14ac:dyDescent="0.2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V44" t="e">
        <f>Energy_label!G17*Energy_label!I17/V45</f>
        <v>#NUM!</v>
      </c>
      <c r="X44" s="24">
        <f>X42^(1/1.401)</f>
        <v>0.86133102784792137</v>
      </c>
      <c r="Y44" s="5"/>
      <c r="Z44" s="22"/>
    </row>
    <row r="45" spans="1:26" ht="15" x14ac:dyDescent="0.25">
      <c r="C45" s="31" t="e">
        <f>-0.55*(LOG(C1/$V$54)*3.33-1.65)^2+0.8*(LOG(C1/$V$54)*3.33-1.65)-6+$M45+C3</f>
        <v>#NUM!</v>
      </c>
      <c r="D45" s="31" t="e">
        <f t="shared" ref="D45:K45" si="7">-0.55*(LOG(D1/$V$54)*3.33-1.65)^2+0.8*(LOG(D1/$V$54)*3.33-1.65)-6+$M45+D3</f>
        <v>#NUM!</v>
      </c>
      <c r="E45" s="31" t="e">
        <f t="shared" si="7"/>
        <v>#NUM!</v>
      </c>
      <c r="F45" s="31" t="e">
        <f t="shared" si="7"/>
        <v>#NUM!</v>
      </c>
      <c r="G45" s="31" t="e">
        <f t="shared" si="7"/>
        <v>#NUM!</v>
      </c>
      <c r="H45" s="31" t="e">
        <f t="shared" si="7"/>
        <v>#NUM!</v>
      </c>
      <c r="I45" s="31" t="e">
        <f t="shared" si="7"/>
        <v>#NUM!</v>
      </c>
      <c r="J45" s="31" t="e">
        <f t="shared" si="7"/>
        <v>#NUM!</v>
      </c>
      <c r="K45" s="31" t="e">
        <f t="shared" si="7"/>
        <v>#NUM!</v>
      </c>
      <c r="L45" s="31" t="e">
        <f>-0.55*(LOG(L1/$V$54)*3.33-1.65)^2+0.8*(LOG(L1/$V$54)*3.33-1.65)-6+$M45+L3</f>
        <v>#NUM!</v>
      </c>
      <c r="M45" s="31" t="e">
        <f>7+50*LOG(V54)+10*LOG(Energy_label!I17)</f>
        <v>#NUM!</v>
      </c>
      <c r="N45" s="31"/>
      <c r="O45" s="31"/>
      <c r="P45" s="31"/>
      <c r="Q45" s="31"/>
      <c r="R45" s="31"/>
      <c r="V45" t="e">
        <f>INDEX(V46:V48,N3,1)</f>
        <v>#NUM!</v>
      </c>
      <c r="X45" s="24"/>
      <c r="Y45" s="5"/>
      <c r="Z45" s="22"/>
    </row>
    <row r="46" spans="1:26" ht="15.75" thickBot="1" x14ac:dyDescent="0.3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U46" s="65" t="s">
        <v>13</v>
      </c>
      <c r="V46" s="65" t="e">
        <f>EXP((T32-10*LOG(Energy_label!I$17)-C$5+20.865)/29.65)</f>
        <v>#NUM!</v>
      </c>
      <c r="X46" s="24">
        <f>X42^(1/1.401)*290/(273.15+Energy_label!H12)</f>
        <v>0.91446457285702809</v>
      </c>
      <c r="Y46" s="5"/>
      <c r="Z46" s="22">
        <f>(((273.15+Energy_label!H12)/290)^(1.401/(0.401))^(1/1.401)*290/(273.15+Energy_label!H12))^(1/1.401)</f>
        <v>0.9381706873641017</v>
      </c>
    </row>
    <row r="47" spans="1:26" ht="15" x14ac:dyDescent="0.25">
      <c r="A47" t="s">
        <v>55</v>
      </c>
      <c r="B47">
        <v>500</v>
      </c>
      <c r="C47" s="40" t="e">
        <f>10*LOG(10^((C$22-C$5-datablad!E3*IF(AND(Energy_label!$H$12&gt;-10,Energy_label!$H$12&lt;30),1,340/Energy_label!$Q$17))/10)+10^(C$45/10))+C$5</f>
        <v>#NUM!</v>
      </c>
      <c r="D47" s="40" t="e">
        <f>10*LOG(10^((D$22-D$5-datablad!F3*IF(AND(Energy_label!$H$12&gt;-10,Energy_label!$H$12&lt;30),1,340/Energy_label!$Q$17))/10)+10^(D$45/10))+D$5</f>
        <v>#NUM!</v>
      </c>
      <c r="E47" s="40" t="e">
        <f>10*LOG(10^((E$22-E$5-datablad!G3*IF(AND(Energy_label!$H$12&gt;-10,Energy_label!$H$12&lt;30),1,340/Energy_label!$Q$17))/10)+10^(E$45/10))+E$5</f>
        <v>#NUM!</v>
      </c>
      <c r="F47" s="40" t="e">
        <f>10*LOG(10^((F$22-F$5-datablad!H3*IF(AND(Energy_label!$H$12&gt;-10,Energy_label!$H$12&lt;30),1,340/Energy_label!$Q$17))/10)+10^(F$45/10))+F$5</f>
        <v>#NUM!</v>
      </c>
      <c r="G47" s="40" t="e">
        <f>10*LOG(10^((G$22-G$5-datablad!I3*IF(AND(Energy_label!$H$12&gt;-10,Energy_label!$H$12&lt;30),1,340/Energy_label!$Q$17))/10)+10^(G$45/10))+G$5</f>
        <v>#NUM!</v>
      </c>
      <c r="H47" s="40" t="e">
        <f>10*LOG(10^((H$22-H$5-datablad!J3*IF(AND(Energy_label!$H$12&gt;-10,Energy_label!$H$12&lt;30),1,340/Energy_label!$Q$17))/10)+10^(H$45/10))+H$5</f>
        <v>#NUM!</v>
      </c>
      <c r="I47" s="40" t="e">
        <f>10*LOG(10^((I$22-I$5-datablad!K3*IF(AND(Energy_label!$H$12&gt;-10,Energy_label!$H$12&lt;30),1,340/Energy_label!$Q$17))/10)+10^(I$45/10))+I$5</f>
        <v>#NUM!</v>
      </c>
      <c r="J47" s="40" t="e">
        <f>10*LOG(10^((J$22-J$5-datablad!L3*IF(AND(Energy_label!$H$12&gt;-10,Energy_label!$H$12&lt;30),1,340/Energy_label!$Q$17))/10)+10^(J$45/10))+J$5</f>
        <v>#NUM!</v>
      </c>
      <c r="K47" s="40" t="e">
        <f>10*LOG(10^((K$22-K$5-datablad!M3*IF(AND(Energy_label!$H$12&gt;-10,Energy_label!$H$12&lt;30),1,340/Energy_label!$Q$17))/10)+10^(K$45/10))+K$5</f>
        <v>#NUM!</v>
      </c>
      <c r="L47" s="40" t="e">
        <f>10*LOG(10^((L$22-L$5-datablad!N3*IF(AND(Energy_label!$H$12&gt;-10,Energy_label!$H$12&lt;30),1,340/Energy_label!$Q$17))/10)+10^(L$45/10))+L$5</f>
        <v>#NUM!</v>
      </c>
      <c r="M47" s="41" t="e">
        <f t="shared" ref="M47:M63" si="8">10*LOG(10^(C47/10)+10^(D47/10)+10^(E47/10)+10^(F47/10)+10^(G47/10)+10^(H47/10)+10^(I47/10)+10^(J47/10)+10^(K47/10)+10^(L47/10))</f>
        <v>#NUM!</v>
      </c>
      <c r="N47" s="31" t="e">
        <f>IF(M47&lt;Energy_label!N$8,1,0)</f>
        <v>#NUM!</v>
      </c>
      <c r="O47" s="56" t="e">
        <f>0.5*Energy_label!$N$17*Energy_label!$G$17^2*O$25</f>
        <v>#NUM!</v>
      </c>
      <c r="P47" s="56" t="e">
        <f>0.5*Energy_label!$N$17*Energy_label!$G$17^2*P$5*B47/1000</f>
        <v>#NUM!</v>
      </c>
      <c r="Q47" s="56" t="e">
        <f>0.5*Energy_label!$N$17*Energy_label!$G$17^2*Q$25</f>
        <v>#NUM!</v>
      </c>
      <c r="R47" s="57" t="e">
        <f>R48</f>
        <v>#NUM!</v>
      </c>
      <c r="U47" s="65" t="s">
        <v>14</v>
      </c>
      <c r="V47" s="65" t="e">
        <f>EXP((T32-10*LOG(Energy_label!I$17)-C$5+3.0621)/25.892)</f>
        <v>#NUM!</v>
      </c>
      <c r="X47" s="25">
        <f>X46^(1/1.401)</f>
        <v>0.9381706873641017</v>
      </c>
      <c r="Y47" s="26"/>
      <c r="Z47" s="27"/>
    </row>
    <row r="48" spans="1:26" x14ac:dyDescent="0.15">
      <c r="B48">
        <v>750</v>
      </c>
      <c r="C48" s="40" t="e">
        <f>10*LOG(10^((C$22-C$5-datablad!E4*IF(AND(Energy_label!$H$12&gt;-10,Energy_label!$H$12&lt;30),1,340/Energy_label!$Q$17))/10)+10^(C$45/10))+C$5</f>
        <v>#NUM!</v>
      </c>
      <c r="D48" s="40" t="e">
        <f>10*LOG(10^((D$22-D$5-datablad!F4*IF(AND(Energy_label!$H$12&gt;-10,Energy_label!$H$12&lt;30),1,340/Energy_label!$Q$17))/10)+10^(D$45/10))+D$5</f>
        <v>#NUM!</v>
      </c>
      <c r="E48" s="40" t="e">
        <f>10*LOG(10^((E$22-E$5-datablad!G4*IF(AND(Energy_label!$H$12&gt;-10,Energy_label!$H$12&lt;30),1,340/Energy_label!$Q$17))/10)+10^(E$45/10))+E$5</f>
        <v>#NUM!</v>
      </c>
      <c r="F48" s="40" t="e">
        <f>10*LOG(10^((F$22-F$5-datablad!H4*IF(AND(Energy_label!$H$12&gt;-10,Energy_label!$H$12&lt;30),1,340/Energy_label!$Q$17))/10)+10^(F$45/10))+F$5</f>
        <v>#NUM!</v>
      </c>
      <c r="G48" s="40" t="e">
        <f>10*LOG(10^((G$22-G$5-datablad!I4*IF(AND(Energy_label!$H$12&gt;-10,Energy_label!$H$12&lt;30),1,340/Energy_label!$Q$17))/10)+10^(G$45/10))+G$5</f>
        <v>#NUM!</v>
      </c>
      <c r="H48" s="40" t="e">
        <f>10*LOG(10^((H$22-H$5-datablad!J4*IF(AND(Energy_label!$H$12&gt;-10,Energy_label!$H$12&lt;30),1,340/Energy_label!$Q$17))/10)+10^(H$45/10))+H$5</f>
        <v>#NUM!</v>
      </c>
      <c r="I48" s="40" t="e">
        <f>10*LOG(10^((I$22-I$5-datablad!K4*IF(AND(Energy_label!$H$12&gt;-10,Energy_label!$H$12&lt;30),1,340/Energy_label!$Q$17))/10)+10^(I$45/10))+I$5</f>
        <v>#NUM!</v>
      </c>
      <c r="J48" s="40" t="e">
        <f>10*LOG(10^((J$22-J$5-datablad!L4*IF(AND(Energy_label!$H$12&gt;-10,Energy_label!$H$12&lt;30),1,340/Energy_label!$Q$17))/10)+10^(J$45/10))+J$5</f>
        <v>#NUM!</v>
      </c>
      <c r="K48" s="40" t="e">
        <f>10*LOG(10^((K$22-K$5-datablad!M4*IF(AND(Energy_label!$H$12&gt;-10,Energy_label!$H$12&lt;30),1,340/Energy_label!$Q$17))/10)+10^(K$45/10))+K$5</f>
        <v>#NUM!</v>
      </c>
      <c r="L48" s="40" t="e">
        <f>10*LOG(10^((L$22-L$5-datablad!N4*IF(AND(Energy_label!$H$12&gt;-10,Energy_label!$H$12&lt;30),1,340/Energy_label!$Q$17))/10)+10^(L$45/10))+L$5</f>
        <v>#NUM!</v>
      </c>
      <c r="M48" s="42" t="e">
        <f t="shared" si="8"/>
        <v>#NUM!</v>
      </c>
      <c r="N48" s="31" t="e">
        <f>IF(M48&lt;Energy_label!N$8,1,0)</f>
        <v>#NUM!</v>
      </c>
      <c r="O48" s="56" t="e">
        <f>0.5*Energy_label!$N$17*Energy_label!$G$17^2*O$25</f>
        <v>#NUM!</v>
      </c>
      <c r="P48" s="56" t="e">
        <f>0.5*Energy_label!$N$17*Energy_label!$G$17^2*P$5*B48/1000</f>
        <v>#NUM!</v>
      </c>
      <c r="Q48" s="56" t="e">
        <f>0.5*Energy_label!$N$17*Energy_label!$G$17^2*Q$25</f>
        <v>#NUM!</v>
      </c>
      <c r="R48" s="58" t="e">
        <f t="shared" ref="R48:R61" si="9">R49</f>
        <v>#NUM!</v>
      </c>
      <c r="U48" s="65" t="s">
        <v>15</v>
      </c>
      <c r="V48" s="65" t="e">
        <f>EXP((T32-10*LOG(Energy_label!I$17)-C$5+1.2209)/25.495)</f>
        <v>#NUM!</v>
      </c>
    </row>
    <row r="49" spans="2:22" x14ac:dyDescent="0.15">
      <c r="B49">
        <v>1000</v>
      </c>
      <c r="C49" s="40" t="e">
        <f>10*LOG(10^((C$22-C$5-datablad!E5*IF(AND(Energy_label!$H$12&gt;-10,Energy_label!$H$12&lt;30),1,340/Energy_label!$Q$17))/10)+10^(C$45/10))+C$5</f>
        <v>#NUM!</v>
      </c>
      <c r="D49" s="40" t="e">
        <f>10*LOG(10^((D$22-D$5-datablad!F5*IF(AND(Energy_label!$H$12&gt;-10,Energy_label!$H$12&lt;30),1,340/Energy_label!$Q$17))/10)+10^(D$45/10))+D$5</f>
        <v>#NUM!</v>
      </c>
      <c r="E49" s="40" t="e">
        <f>10*LOG(10^((E$22-E$5-datablad!G5*IF(AND(Energy_label!$H$12&gt;-10,Energy_label!$H$12&lt;30),1,340/Energy_label!$Q$17))/10)+10^(E$45/10))+E$5</f>
        <v>#NUM!</v>
      </c>
      <c r="F49" s="40" t="e">
        <f>10*LOG(10^((F$22-F$5-datablad!H5*IF(AND(Energy_label!$H$12&gt;-10,Energy_label!$H$12&lt;30),1,340/Energy_label!$Q$17))/10)+10^(F$45/10))+F$5</f>
        <v>#NUM!</v>
      </c>
      <c r="G49" s="40" t="e">
        <f>10*LOG(10^((G$22-G$5-datablad!I5*IF(AND(Energy_label!$H$12&gt;-10,Energy_label!$H$12&lt;30),1,340/Energy_label!$Q$17))/10)+10^(G$45/10))+G$5</f>
        <v>#NUM!</v>
      </c>
      <c r="H49" s="40" t="e">
        <f>10*LOG(10^((H$22-H$5-datablad!J5*IF(AND(Energy_label!$H$12&gt;-10,Energy_label!$H$12&lt;30),1,340/Energy_label!$Q$17))/10)+10^(H$45/10))+H$5</f>
        <v>#NUM!</v>
      </c>
      <c r="I49" s="40" t="e">
        <f>10*LOG(10^((I$22-I$5-datablad!K5*IF(AND(Energy_label!$H$12&gt;-10,Energy_label!$H$12&lt;30),1,340/Energy_label!$Q$17))/10)+10^(I$45/10))+I$5</f>
        <v>#NUM!</v>
      </c>
      <c r="J49" s="40" t="e">
        <f>10*LOG(10^((J$22-J$5-datablad!L5*IF(AND(Energy_label!$H$12&gt;-10,Energy_label!$H$12&lt;30),1,340/Energy_label!$Q$17))/10)+10^(J$45/10))+J$5</f>
        <v>#NUM!</v>
      </c>
      <c r="K49" s="40" t="e">
        <f>10*LOG(10^((K$22-K$5-datablad!M5*IF(AND(Energy_label!$H$12&gt;-10,Energy_label!$H$12&lt;30),1,340/Energy_label!$Q$17))/10)+10^(K$45/10))+K$5</f>
        <v>#NUM!</v>
      </c>
      <c r="L49" s="40" t="e">
        <f>10*LOG(10^((L$22-L$5-datablad!N5*IF(AND(Energy_label!$H$12&gt;-10,Energy_label!$H$12&lt;30),1,340/Energy_label!$Q$17))/10)+10^(L$45/10))+L$5</f>
        <v>#NUM!</v>
      </c>
      <c r="M49" s="42" t="e">
        <f t="shared" si="8"/>
        <v>#NUM!</v>
      </c>
      <c r="N49" s="31" t="e">
        <f>IF(M49&lt;Energy_label!N$8,1,0)</f>
        <v>#NUM!</v>
      </c>
      <c r="O49" s="56" t="e">
        <f>0.5*Energy_label!$N$17*Energy_label!$G$17^2*O$25</f>
        <v>#NUM!</v>
      </c>
      <c r="P49" s="56" t="e">
        <f>0.5*Energy_label!$N$17*Energy_label!$G$17^2*P$5*B49/1000</f>
        <v>#NUM!</v>
      </c>
      <c r="Q49" s="56" t="e">
        <f>0.5*Energy_label!$N$17*Energy_label!$G$17^2*Q$25</f>
        <v>#NUM!</v>
      </c>
      <c r="R49" s="58" t="e">
        <f t="shared" si="9"/>
        <v>#NUM!</v>
      </c>
    </row>
    <row r="50" spans="2:22" x14ac:dyDescent="0.15">
      <c r="B50">
        <v>1250</v>
      </c>
      <c r="C50" s="40" t="e">
        <f>10*LOG(10^((C$22-C$5-datablad!E6*IF(AND(Energy_label!$H$12&gt;-10,Energy_label!$H$12&lt;30),1,340/Energy_label!$Q$17))/10)+10^(C$45/10))+C$5</f>
        <v>#NUM!</v>
      </c>
      <c r="D50" s="40" t="e">
        <f>10*LOG(10^((D$22-D$5-datablad!F6*IF(AND(Energy_label!$H$12&gt;-10,Energy_label!$H$12&lt;30),1,340/Energy_label!$Q$17))/10)+10^(D$45/10))+D$5</f>
        <v>#NUM!</v>
      </c>
      <c r="E50" s="40" t="e">
        <f>10*LOG(10^((E$22-E$5-datablad!G6*IF(AND(Energy_label!$H$12&gt;-10,Energy_label!$H$12&lt;30),1,340/Energy_label!$Q$17))/10)+10^(E$45/10))+E$5</f>
        <v>#NUM!</v>
      </c>
      <c r="F50" s="40" t="e">
        <f>10*LOG(10^((F$22-F$5-datablad!H6*IF(AND(Energy_label!$H$12&gt;-10,Energy_label!$H$12&lt;30),1,340/Energy_label!$Q$17))/10)+10^(F$45/10))+F$5</f>
        <v>#NUM!</v>
      </c>
      <c r="G50" s="40" t="e">
        <f>10*LOG(10^((G$22-G$5-datablad!I6*IF(AND(Energy_label!$H$12&gt;-10,Energy_label!$H$12&lt;30),1,340/Energy_label!$Q$17))/10)+10^(G$45/10))+G$5</f>
        <v>#NUM!</v>
      </c>
      <c r="H50" s="40" t="e">
        <f>10*LOG(10^((H$22-H$5-datablad!J6*IF(AND(Energy_label!$H$12&gt;-10,Energy_label!$H$12&lt;30),1,340/Energy_label!$Q$17))/10)+10^(H$45/10))+H$5</f>
        <v>#NUM!</v>
      </c>
      <c r="I50" s="40" t="e">
        <f>10*LOG(10^((I$22-I$5-datablad!K6*IF(AND(Energy_label!$H$12&gt;-10,Energy_label!$H$12&lt;30),1,340/Energy_label!$Q$17))/10)+10^(I$45/10))+I$5</f>
        <v>#NUM!</v>
      </c>
      <c r="J50" s="40" t="e">
        <f>10*LOG(10^((J$22-J$5-datablad!L6*IF(AND(Energy_label!$H$12&gt;-10,Energy_label!$H$12&lt;30),1,340/Energy_label!$Q$17))/10)+10^(J$45/10))+J$5</f>
        <v>#NUM!</v>
      </c>
      <c r="K50" s="40" t="e">
        <f>10*LOG(10^((K$22-K$5-datablad!M6*IF(AND(Energy_label!$H$12&gt;-10,Energy_label!$H$12&lt;30),1,340/Energy_label!$Q$17))/10)+10^(K$45/10))+K$5</f>
        <v>#NUM!</v>
      </c>
      <c r="L50" s="40" t="e">
        <f>10*LOG(10^((L$22-L$5-datablad!N6*IF(AND(Energy_label!$H$12&gt;-10,Energy_label!$H$12&lt;30),1,340/Energy_label!$Q$17))/10)+10^(L$45/10))+L$5</f>
        <v>#NUM!</v>
      </c>
      <c r="M50" s="42" t="e">
        <f t="shared" si="8"/>
        <v>#NUM!</v>
      </c>
      <c r="N50" s="31" t="e">
        <f>IF(M50&lt;Energy_label!N$8,1,0)</f>
        <v>#NUM!</v>
      </c>
      <c r="O50" s="56" t="e">
        <f>0.5*Energy_label!$N$17*Energy_label!$G$17^2*O$25</f>
        <v>#NUM!</v>
      </c>
      <c r="P50" s="56" t="e">
        <f>0.5*Energy_label!$N$17*Energy_label!$G$17^2*P$5*B50/1000</f>
        <v>#NUM!</v>
      </c>
      <c r="Q50" s="56" t="e">
        <f>0.5*Energy_label!$N$17*Energy_label!$G$17^2*Q$25</f>
        <v>#NUM!</v>
      </c>
      <c r="R50" s="58" t="e">
        <f t="shared" si="9"/>
        <v>#NUM!</v>
      </c>
    </row>
    <row r="51" spans="2:22" x14ac:dyDescent="0.15">
      <c r="B51">
        <v>1500</v>
      </c>
      <c r="C51" s="40" t="e">
        <f>10*LOG(10^((C$22-C$5-datablad!E7*IF(AND(Energy_label!$H$12&gt;-10,Energy_label!$H$12&lt;30),1,340/Energy_label!$Q$17))/10)+10^(C$45/10))+C$5</f>
        <v>#NUM!</v>
      </c>
      <c r="D51" s="40" t="e">
        <f>10*LOG(10^((D$22-D$5-datablad!F7*IF(AND(Energy_label!$H$12&gt;-10,Energy_label!$H$12&lt;30),1,340/Energy_label!$Q$17))/10)+10^(D$45/10))+D$5</f>
        <v>#NUM!</v>
      </c>
      <c r="E51" s="40" t="e">
        <f>10*LOG(10^((E$22-E$5-datablad!G7*IF(AND(Energy_label!$H$12&gt;-10,Energy_label!$H$12&lt;30),1,340/Energy_label!$Q$17))/10)+10^(E$45/10))+E$5</f>
        <v>#NUM!</v>
      </c>
      <c r="F51" s="40" t="e">
        <f>10*LOG(10^((F$22-F$5-datablad!H7*IF(AND(Energy_label!$H$12&gt;-10,Energy_label!$H$12&lt;30),1,340/Energy_label!$Q$17))/10)+10^(F$45/10))+F$5</f>
        <v>#NUM!</v>
      </c>
      <c r="G51" s="40" t="e">
        <f>10*LOG(10^((G$22-G$5-datablad!I7*IF(AND(Energy_label!$H$12&gt;-10,Energy_label!$H$12&lt;30),1,340/Energy_label!$Q$17))/10)+10^(G$45/10))+G$5</f>
        <v>#NUM!</v>
      </c>
      <c r="H51" s="40" t="e">
        <f>10*LOG(10^((H$22-H$5-datablad!J7*IF(AND(Energy_label!$H$12&gt;-10,Energy_label!$H$12&lt;30),1,340/Energy_label!$Q$17))/10)+10^(H$45/10))+H$5</f>
        <v>#NUM!</v>
      </c>
      <c r="I51" s="40" t="e">
        <f>10*LOG(10^((I$22-I$5-datablad!K7*IF(AND(Energy_label!$H$12&gt;-10,Energy_label!$H$12&lt;30),1,340/Energy_label!$Q$17))/10)+10^(I$45/10))+I$5</f>
        <v>#NUM!</v>
      </c>
      <c r="J51" s="40" t="e">
        <f>10*LOG(10^((J$22-J$5-datablad!L7*IF(AND(Energy_label!$H$12&gt;-10,Energy_label!$H$12&lt;30),1,340/Energy_label!$Q$17))/10)+10^(J$45/10))+J$5</f>
        <v>#NUM!</v>
      </c>
      <c r="K51" s="40" t="e">
        <f>10*LOG(10^((K$22-K$5-datablad!M7*IF(AND(Energy_label!$H$12&gt;-10,Energy_label!$H$12&lt;30),1,340/Energy_label!$Q$17))/10)+10^(K$45/10))+K$5</f>
        <v>#NUM!</v>
      </c>
      <c r="L51" s="40" t="e">
        <f>10*LOG(10^((L$22-L$5-datablad!N7*IF(AND(Energy_label!$H$12&gt;-10,Energy_label!$H$12&lt;30),1,340/Energy_label!$Q$17))/10)+10^(L$45/10))+L$5</f>
        <v>#NUM!</v>
      </c>
      <c r="M51" s="42" t="e">
        <f t="shared" si="8"/>
        <v>#NUM!</v>
      </c>
      <c r="N51" s="31" t="e">
        <f>IF(M51&lt;Energy_label!N$8,1,0)</f>
        <v>#NUM!</v>
      </c>
      <c r="O51" s="56" t="e">
        <f>0.5*Energy_label!$N$17*Energy_label!$G$17^2*O$25</f>
        <v>#NUM!</v>
      </c>
      <c r="P51" s="56" t="e">
        <f>0.5*Energy_label!$N$17*Energy_label!$G$17^2*P$5*B51/1000</f>
        <v>#NUM!</v>
      </c>
      <c r="Q51" s="56" t="e">
        <f>0.5*Energy_label!$N$17*Energy_label!$G$17^2*Q$25</f>
        <v>#NUM!</v>
      </c>
      <c r="R51" s="58" t="e">
        <f t="shared" si="9"/>
        <v>#NUM!</v>
      </c>
    </row>
    <row r="52" spans="2:22" x14ac:dyDescent="0.15">
      <c r="B52">
        <v>1750</v>
      </c>
      <c r="C52" s="40" t="e">
        <f>10*LOG(10^((C$22-C$5-datablad!E8*IF(AND(Energy_label!$H$12&gt;-10,Energy_label!$H$12&lt;30),1,340/Energy_label!$Q$17))/10)+10^(C$45/10))+C$5</f>
        <v>#NUM!</v>
      </c>
      <c r="D52" s="40" t="e">
        <f>10*LOG(10^((D$22-D$5-datablad!F8*IF(AND(Energy_label!$H$12&gt;-10,Energy_label!$H$12&lt;30),1,340/Energy_label!$Q$17))/10)+10^(D$45/10))+D$5</f>
        <v>#NUM!</v>
      </c>
      <c r="E52" s="40" t="e">
        <f>10*LOG(10^((E$22-E$5-datablad!G8*IF(AND(Energy_label!$H$12&gt;-10,Energy_label!$H$12&lt;30),1,340/Energy_label!$Q$17))/10)+10^(E$45/10))+E$5</f>
        <v>#NUM!</v>
      </c>
      <c r="F52" s="40" t="e">
        <f>10*LOG(10^((F$22-F$5-datablad!H8*IF(AND(Energy_label!$H$12&gt;-10,Energy_label!$H$12&lt;30),1,340/Energy_label!$Q$17))/10)+10^(F$45/10))+F$5</f>
        <v>#NUM!</v>
      </c>
      <c r="G52" s="40" t="e">
        <f>10*LOG(10^((G$22-G$5-datablad!I8*IF(AND(Energy_label!$H$12&gt;-10,Energy_label!$H$12&lt;30),1,340/Energy_label!$Q$17))/10)+10^(G$45/10))+G$5</f>
        <v>#NUM!</v>
      </c>
      <c r="H52" s="40" t="e">
        <f>10*LOG(10^((H$22-H$5-datablad!J8*IF(AND(Energy_label!$H$12&gt;-10,Energy_label!$H$12&lt;30),1,340/Energy_label!$Q$17))/10)+10^(H$45/10))+H$5</f>
        <v>#NUM!</v>
      </c>
      <c r="I52" s="40" t="e">
        <f>10*LOG(10^((I$22-I$5-datablad!K8*IF(AND(Energy_label!$H$12&gt;-10,Energy_label!$H$12&lt;30),1,340/Energy_label!$Q$17))/10)+10^(I$45/10))+I$5</f>
        <v>#NUM!</v>
      </c>
      <c r="J52" s="40" t="e">
        <f>10*LOG(10^((J$22-J$5-datablad!L8*IF(AND(Energy_label!$H$12&gt;-10,Energy_label!$H$12&lt;30),1,340/Energy_label!$Q$17))/10)+10^(J$45/10))+J$5</f>
        <v>#NUM!</v>
      </c>
      <c r="K52" s="40" t="e">
        <f>10*LOG(10^((K$22-K$5-datablad!M8*IF(AND(Energy_label!$H$12&gt;-10,Energy_label!$H$12&lt;30),1,340/Energy_label!$Q$17))/10)+10^(K$45/10))+K$5</f>
        <v>#NUM!</v>
      </c>
      <c r="L52" s="40" t="e">
        <f>10*LOG(10^((L$22-L$5-datablad!N8*IF(AND(Energy_label!$H$12&gt;-10,Energy_label!$H$12&lt;30),1,340/Energy_label!$Q$17))/10)+10^(L$45/10))+L$5</f>
        <v>#NUM!</v>
      </c>
      <c r="M52" s="42" t="e">
        <f t="shared" si="8"/>
        <v>#NUM!</v>
      </c>
      <c r="N52" s="31" t="e">
        <f>IF(M52&lt;Energy_label!N$8,1,0)</f>
        <v>#NUM!</v>
      </c>
      <c r="O52" s="56" t="e">
        <f>0.5*Energy_label!$N$17*Energy_label!$G$17^2*O$25</f>
        <v>#NUM!</v>
      </c>
      <c r="P52" s="56" t="e">
        <f>0.5*Energy_label!$N$17*Energy_label!$G$17^2*P$5*B52/1000</f>
        <v>#NUM!</v>
      </c>
      <c r="Q52" s="56" t="e">
        <f>0.5*Energy_label!$N$17*Energy_label!$G$17^2*Q$25</f>
        <v>#NUM!</v>
      </c>
      <c r="R52" s="58" t="e">
        <f t="shared" si="9"/>
        <v>#NUM!</v>
      </c>
    </row>
    <row r="53" spans="2:22" x14ac:dyDescent="0.15">
      <c r="B53">
        <v>2000</v>
      </c>
      <c r="C53" s="40" t="e">
        <f>10*LOG(10^((C$22-C$5-datablad!E9*IF(AND(Energy_label!$H$12&gt;-10,Energy_label!$H$12&lt;30),1,340/Energy_label!$Q$17))/10)+10^(C$45/10))+C$5</f>
        <v>#NUM!</v>
      </c>
      <c r="D53" s="40" t="e">
        <f>10*LOG(10^((D$22-D$5-datablad!F9*IF(AND(Energy_label!$H$12&gt;-10,Energy_label!$H$12&lt;30),1,340/Energy_label!$Q$17))/10)+10^(D$45/10))+D$5</f>
        <v>#NUM!</v>
      </c>
      <c r="E53" s="40" t="e">
        <f>10*LOG(10^((E$22-E$5-datablad!G9*IF(AND(Energy_label!$H$12&gt;-10,Energy_label!$H$12&lt;30),1,340/Energy_label!$Q$17))/10)+10^(E$45/10))+E$5</f>
        <v>#NUM!</v>
      </c>
      <c r="F53" s="40" t="e">
        <f>10*LOG(10^((F$22-F$5-datablad!H9*IF(AND(Energy_label!$H$12&gt;-10,Energy_label!$H$12&lt;30),1,340/Energy_label!$Q$17))/10)+10^(F$45/10))+F$5</f>
        <v>#NUM!</v>
      </c>
      <c r="G53" s="40" t="e">
        <f>10*LOG(10^((G$22-G$5-datablad!I9*IF(AND(Energy_label!$H$12&gt;-10,Energy_label!$H$12&lt;30),1,340/Energy_label!$Q$17))/10)+10^(G$45/10))+G$5</f>
        <v>#NUM!</v>
      </c>
      <c r="H53" s="40" t="e">
        <f>10*LOG(10^((H$22-H$5-datablad!J9*IF(AND(Energy_label!$H$12&gt;-10,Energy_label!$H$12&lt;30),1,340/Energy_label!$Q$17))/10)+10^(H$45/10))+H$5</f>
        <v>#NUM!</v>
      </c>
      <c r="I53" s="40" t="e">
        <f>10*LOG(10^((I$22-I$5-datablad!K9*IF(AND(Energy_label!$H$12&gt;-10,Energy_label!$H$12&lt;30),1,340/Energy_label!$Q$17))/10)+10^(I$45/10))+I$5</f>
        <v>#NUM!</v>
      </c>
      <c r="J53" s="40" t="e">
        <f>10*LOG(10^((J$22-J$5-datablad!L9*IF(AND(Energy_label!$H$12&gt;-10,Energy_label!$H$12&lt;30),1,340/Energy_label!$Q$17))/10)+10^(J$45/10))+J$5</f>
        <v>#NUM!</v>
      </c>
      <c r="K53" s="40" t="e">
        <f>10*LOG(10^((K$22-K$5-datablad!M9*IF(AND(Energy_label!$H$12&gt;-10,Energy_label!$H$12&lt;30),1,340/Energy_label!$Q$17))/10)+10^(K$45/10))+K$5</f>
        <v>#NUM!</v>
      </c>
      <c r="L53" s="40" t="e">
        <f>10*LOG(10^((L$22-L$5-datablad!N9*IF(AND(Energy_label!$H$12&gt;-10,Energy_label!$H$12&lt;30),1,340/Energy_label!$Q$17))/10)+10^(L$45/10))+L$5</f>
        <v>#NUM!</v>
      </c>
      <c r="M53" s="42" t="e">
        <f t="shared" si="8"/>
        <v>#NUM!</v>
      </c>
      <c r="N53" s="31" t="e">
        <f>IF(M53&lt;Energy_label!N$8,1,0)</f>
        <v>#NUM!</v>
      </c>
      <c r="O53" s="56" t="e">
        <f>0.5*Energy_label!$N$17*Energy_label!$G$17^2*O$25</f>
        <v>#NUM!</v>
      </c>
      <c r="P53" s="56" t="e">
        <f>0.5*Energy_label!$N$17*Energy_label!$G$17^2*P$5*B53/1000</f>
        <v>#NUM!</v>
      </c>
      <c r="Q53" s="56" t="e">
        <f>0.5*Energy_label!$N$17*Energy_label!$G$17^2*Q$25</f>
        <v>#NUM!</v>
      </c>
      <c r="R53" s="58" t="e">
        <f t="shared" si="9"/>
        <v>#NUM!</v>
      </c>
      <c r="V53" t="e">
        <f>Energy_label!G17*Energy_label!I17/V54</f>
        <v>#NUM!</v>
      </c>
    </row>
    <row r="54" spans="2:22" x14ac:dyDescent="0.15">
      <c r="B54">
        <v>2250</v>
      </c>
      <c r="C54" s="40" t="e">
        <f>10*LOG(10^((C$22-C$5-datablad!E10*IF(AND(Energy_label!$H$12&gt;-10,Energy_label!$H$12&lt;30),1,340/Energy_label!$Q$17))/10)+10^(C$45/10))+C$5</f>
        <v>#NUM!</v>
      </c>
      <c r="D54" s="40" t="e">
        <f>10*LOG(10^((D$22-D$5-datablad!F10*IF(AND(Energy_label!$H$12&gt;-10,Energy_label!$H$12&lt;30),1,340/Energy_label!$Q$17))/10)+10^(D$45/10))+D$5</f>
        <v>#NUM!</v>
      </c>
      <c r="E54" s="40" t="e">
        <f>10*LOG(10^((E$22-E$5-datablad!G10*IF(AND(Energy_label!$H$12&gt;-10,Energy_label!$H$12&lt;30),1,340/Energy_label!$Q$17))/10)+10^(E$45/10))+E$5</f>
        <v>#NUM!</v>
      </c>
      <c r="F54" s="40" t="e">
        <f>10*LOG(10^((F$22-F$5-datablad!H10*IF(AND(Energy_label!$H$12&gt;-10,Energy_label!$H$12&lt;30),1,340/Energy_label!$Q$17))/10)+10^(F$45/10))+F$5</f>
        <v>#NUM!</v>
      </c>
      <c r="G54" s="40" t="e">
        <f>10*LOG(10^((G$22-G$5-datablad!I10*IF(AND(Energy_label!$H$12&gt;-10,Energy_label!$H$12&lt;30),1,340/Energy_label!$Q$17))/10)+10^(G$45/10))+G$5</f>
        <v>#NUM!</v>
      </c>
      <c r="H54" s="40" t="e">
        <f>10*LOG(10^((H$22-H$5-datablad!J10*IF(AND(Energy_label!$H$12&gt;-10,Energy_label!$H$12&lt;30),1,340/Energy_label!$Q$17))/10)+10^(H$45/10))+H$5</f>
        <v>#NUM!</v>
      </c>
      <c r="I54" s="40" t="e">
        <f>10*LOG(10^((I$22-I$5-datablad!K10*IF(AND(Energy_label!$H$12&gt;-10,Energy_label!$H$12&lt;30),1,340/Energy_label!$Q$17))/10)+10^(I$45/10))+I$5</f>
        <v>#NUM!</v>
      </c>
      <c r="J54" s="40" t="e">
        <f>10*LOG(10^((J$22-J$5-datablad!L10*IF(AND(Energy_label!$H$12&gt;-10,Energy_label!$H$12&lt;30),1,340/Energy_label!$Q$17))/10)+10^(J$45/10))+J$5</f>
        <v>#NUM!</v>
      </c>
      <c r="K54" s="40" t="e">
        <f>10*LOG(10^((K$22-K$5-datablad!M10*IF(AND(Energy_label!$H$12&gt;-10,Energy_label!$H$12&lt;30),1,340/Energy_label!$Q$17))/10)+10^(K$45/10))+K$5</f>
        <v>#NUM!</v>
      </c>
      <c r="L54" s="40" t="e">
        <f>10*LOG(10^((L$22-L$5-datablad!N10*IF(AND(Energy_label!$H$12&gt;-10,Energy_label!$H$12&lt;30),1,340/Energy_label!$Q$17))/10)+10^(L$45/10))+L$5</f>
        <v>#NUM!</v>
      </c>
      <c r="M54" s="42" t="e">
        <f t="shared" si="8"/>
        <v>#NUM!</v>
      </c>
      <c r="N54" s="31" t="e">
        <f>IF(M54&lt;Energy_label!N$8,1,0)</f>
        <v>#NUM!</v>
      </c>
      <c r="O54" s="56" t="e">
        <f>0.5*Energy_label!$N$17*Energy_label!$G$17^2*O$25</f>
        <v>#NUM!</v>
      </c>
      <c r="P54" s="56" t="e">
        <f>0.5*Energy_label!$N$17*Energy_label!$G$17^2*P$5*B54/1000</f>
        <v>#NUM!</v>
      </c>
      <c r="Q54" s="56" t="e">
        <f>0.5*Energy_label!$N$17*Energy_label!$G$17^2*Q$25</f>
        <v>#NUM!</v>
      </c>
      <c r="R54" s="58" t="e">
        <f t="shared" si="9"/>
        <v>#NUM!</v>
      </c>
      <c r="V54" t="e">
        <f>INDEX(V55:V57,N3,1)</f>
        <v>#NUM!</v>
      </c>
    </row>
    <row r="55" spans="2:22" x14ac:dyDescent="0.15">
      <c r="B55">
        <v>2500</v>
      </c>
      <c r="C55" s="40" t="e">
        <f>10*LOG(10^((C$22-C$5-datablad!E11*IF(AND(Energy_label!$H$12&gt;-10,Energy_label!$H$12&lt;30),1,340/Energy_label!$Q$17))/10)+10^(C$45/10))+C$5</f>
        <v>#NUM!</v>
      </c>
      <c r="D55" s="40" t="e">
        <f>10*LOG(10^((D$22-D$5-datablad!F11*IF(AND(Energy_label!$H$12&gt;-10,Energy_label!$H$12&lt;30),1,340/Energy_label!$Q$17))/10)+10^(D$45/10))+D$5</f>
        <v>#NUM!</v>
      </c>
      <c r="E55" s="40" t="e">
        <f>10*LOG(10^((E$22-E$5-datablad!G11*IF(AND(Energy_label!$H$12&gt;-10,Energy_label!$H$12&lt;30),1,340/Energy_label!$Q$17))/10)+10^(E$45/10))+E$5</f>
        <v>#NUM!</v>
      </c>
      <c r="F55" s="40" t="e">
        <f>10*LOG(10^((F$22-F$5-datablad!H11*IF(AND(Energy_label!$H$12&gt;-10,Energy_label!$H$12&lt;30),1,340/Energy_label!$Q$17))/10)+10^(F$45/10))+F$5</f>
        <v>#NUM!</v>
      </c>
      <c r="G55" s="40" t="e">
        <f>10*LOG(10^((G$22-G$5-datablad!I11*IF(AND(Energy_label!$H$12&gt;-10,Energy_label!$H$12&lt;30),1,340/Energy_label!$Q$17))/10)+10^(G$45/10))+G$5</f>
        <v>#NUM!</v>
      </c>
      <c r="H55" s="40" t="e">
        <f>10*LOG(10^((H$22-H$5-datablad!J11*IF(AND(Energy_label!$H$12&gt;-10,Energy_label!$H$12&lt;30),1,340/Energy_label!$Q$17))/10)+10^(H$45/10))+H$5</f>
        <v>#NUM!</v>
      </c>
      <c r="I55" s="40" t="e">
        <f>10*LOG(10^((I$22-I$5-datablad!K11*IF(AND(Energy_label!$H$12&gt;-10,Energy_label!$H$12&lt;30),1,340/Energy_label!$Q$17))/10)+10^(I$45/10))+I$5</f>
        <v>#NUM!</v>
      </c>
      <c r="J55" s="40" t="e">
        <f>10*LOG(10^((J$22-J$5-datablad!L11*IF(AND(Energy_label!$H$12&gt;-10,Energy_label!$H$12&lt;30),1,340/Energy_label!$Q$17))/10)+10^(J$45/10))+J$5</f>
        <v>#NUM!</v>
      </c>
      <c r="K55" s="40" t="e">
        <f>10*LOG(10^((K$22-K$5-datablad!M11*IF(AND(Energy_label!$H$12&gt;-10,Energy_label!$H$12&lt;30),1,340/Energy_label!$Q$17))/10)+10^(K$45/10))+K$5</f>
        <v>#NUM!</v>
      </c>
      <c r="L55" s="40" t="e">
        <f>10*LOG(10^((L$22-L$5-datablad!N11*IF(AND(Energy_label!$H$12&gt;-10,Energy_label!$H$12&lt;30),1,340/Energy_label!$Q$17))/10)+10^(L$45/10))+L$5</f>
        <v>#NUM!</v>
      </c>
      <c r="M55" s="42" t="e">
        <f t="shared" si="8"/>
        <v>#NUM!</v>
      </c>
      <c r="N55" s="31" t="e">
        <f>IF(M55&lt;Energy_label!N$8,1,0)</f>
        <v>#NUM!</v>
      </c>
      <c r="O55" s="56" t="e">
        <f>0.5*Energy_label!$N$17*Energy_label!$G$17^2*O$25</f>
        <v>#NUM!</v>
      </c>
      <c r="P55" s="56" t="e">
        <f>0.5*Energy_label!$N$17*Energy_label!$G$17^2*P$5*B55/1000</f>
        <v>#NUM!</v>
      </c>
      <c r="Q55" s="56" t="e">
        <f>0.5*Energy_label!$N$17*Energy_label!$G$17^2*Q$25</f>
        <v>#NUM!</v>
      </c>
      <c r="R55" s="58" t="e">
        <f t="shared" si="9"/>
        <v>#NUM!</v>
      </c>
      <c r="U55" t="s">
        <v>13</v>
      </c>
      <c r="V55" s="66" t="e">
        <f>(V46+Energy_label!G$17)/2</f>
        <v>#NUM!</v>
      </c>
    </row>
    <row r="56" spans="2:22" x14ac:dyDescent="0.15">
      <c r="B56">
        <v>2750</v>
      </c>
      <c r="C56" s="40" t="e">
        <f>10*LOG(10^((C$22-C$5-datablad!E12*IF(AND(Energy_label!$H$12&gt;-10,Energy_label!$H$12&lt;30),1,340/Energy_label!$Q$17))/10)+10^(C$45/10))+C$5</f>
        <v>#NUM!</v>
      </c>
      <c r="D56" s="40" t="e">
        <f>10*LOG(10^((D$22-D$5-datablad!F12*IF(AND(Energy_label!$H$12&gt;-10,Energy_label!$H$12&lt;30),1,340/Energy_label!$Q$17))/10)+10^(D$45/10))+D$5</f>
        <v>#NUM!</v>
      </c>
      <c r="E56" s="40" t="e">
        <f>10*LOG(10^((E$22-E$5-datablad!G12*IF(AND(Energy_label!$H$12&gt;-10,Energy_label!$H$12&lt;30),1,340/Energy_label!$Q$17))/10)+10^(E$45/10))+E$5</f>
        <v>#NUM!</v>
      </c>
      <c r="F56" s="40" t="e">
        <f>10*LOG(10^((F$22-F$5-datablad!H12*IF(AND(Energy_label!$H$12&gt;-10,Energy_label!$H$12&lt;30),1,340/Energy_label!$Q$17))/10)+10^(F$45/10))+F$5</f>
        <v>#NUM!</v>
      </c>
      <c r="G56" s="40" t="e">
        <f>10*LOG(10^((G$22-G$5-datablad!I12*IF(AND(Energy_label!$H$12&gt;-10,Energy_label!$H$12&lt;30),1,340/Energy_label!$Q$17))/10)+10^(G$45/10))+G$5</f>
        <v>#NUM!</v>
      </c>
      <c r="H56" s="40" t="e">
        <f>10*LOG(10^((H$22-H$5-datablad!J12*IF(AND(Energy_label!$H$12&gt;-10,Energy_label!$H$12&lt;30),1,340/Energy_label!$Q$17))/10)+10^(H$45/10))+H$5</f>
        <v>#NUM!</v>
      </c>
      <c r="I56" s="40" t="e">
        <f>10*LOG(10^((I$22-I$5-datablad!K12*IF(AND(Energy_label!$H$12&gt;-10,Energy_label!$H$12&lt;30),1,340/Energy_label!$Q$17))/10)+10^(I$45/10))+I$5</f>
        <v>#NUM!</v>
      </c>
      <c r="J56" s="40" t="e">
        <f>10*LOG(10^((J$22-J$5-datablad!L12*IF(AND(Energy_label!$H$12&gt;-10,Energy_label!$H$12&lt;30),1,340/Energy_label!$Q$17))/10)+10^(J$45/10))+J$5</f>
        <v>#NUM!</v>
      </c>
      <c r="K56" s="40" t="e">
        <f>10*LOG(10^((K$22-K$5-datablad!M12*IF(AND(Energy_label!$H$12&gt;-10,Energy_label!$H$12&lt;30),1,340/Energy_label!$Q$17))/10)+10^(K$45/10))+K$5</f>
        <v>#NUM!</v>
      </c>
      <c r="L56" s="40" t="e">
        <f>10*LOG(10^((L$22-L$5-datablad!N12*IF(AND(Energy_label!$H$12&gt;-10,Energy_label!$H$12&lt;30),1,340/Energy_label!$Q$17))/10)+10^(L$45/10))+L$5</f>
        <v>#NUM!</v>
      </c>
      <c r="M56" s="42" t="e">
        <f t="shared" si="8"/>
        <v>#NUM!</v>
      </c>
      <c r="N56" s="31" t="e">
        <f>IF(M56&lt;Energy_label!N$8,1,0)</f>
        <v>#NUM!</v>
      </c>
      <c r="O56" s="56" t="e">
        <f>0.5*Energy_label!$N$17*Energy_label!$G$17^2*O$25</f>
        <v>#NUM!</v>
      </c>
      <c r="P56" s="56" t="e">
        <f>0.5*Energy_label!$N$17*Energy_label!$G$17^2*P$5*B56/1000</f>
        <v>#NUM!</v>
      </c>
      <c r="Q56" s="56" t="e">
        <f>0.5*Energy_label!$N$17*Energy_label!$G$17^2*Q$25</f>
        <v>#NUM!</v>
      </c>
      <c r="R56" s="58" t="e">
        <f t="shared" si="9"/>
        <v>#NUM!</v>
      </c>
      <c r="U56" t="s">
        <v>14</v>
      </c>
      <c r="V56" s="66" t="e">
        <f>(V47+Energy_label!G$17)/2</f>
        <v>#NUM!</v>
      </c>
    </row>
    <row r="57" spans="2:22" x14ac:dyDescent="0.15">
      <c r="B57">
        <v>3000</v>
      </c>
      <c r="C57" s="40" t="e">
        <f>10*LOG(10^((C$22-C$5-datablad!E13*IF(AND(Energy_label!$H$12&gt;-10,Energy_label!$H$12&lt;30),1,340/Energy_label!$Q$17))/10)+10^(C$45/10))+C$5</f>
        <v>#NUM!</v>
      </c>
      <c r="D57" s="40" t="e">
        <f>10*LOG(10^((D$22-D$5-datablad!F13*IF(AND(Energy_label!$H$12&gt;-10,Energy_label!$H$12&lt;30),1,340/Energy_label!$Q$17))/10)+10^(D$45/10))+D$5</f>
        <v>#NUM!</v>
      </c>
      <c r="E57" s="40" t="e">
        <f>10*LOG(10^((E$22-E$5-datablad!G13*IF(AND(Energy_label!$H$12&gt;-10,Energy_label!$H$12&lt;30),1,340/Energy_label!$Q$17))/10)+10^(E$45/10))+E$5</f>
        <v>#NUM!</v>
      </c>
      <c r="F57" s="40" t="e">
        <f>10*LOG(10^((F$22-F$5-datablad!H13*IF(AND(Energy_label!$H$12&gt;-10,Energy_label!$H$12&lt;30),1,340/Energy_label!$Q$17))/10)+10^(F$45/10))+F$5</f>
        <v>#NUM!</v>
      </c>
      <c r="G57" s="40" t="e">
        <f>10*LOG(10^((G$22-G$5-datablad!I13*IF(AND(Energy_label!$H$12&gt;-10,Energy_label!$H$12&lt;30),1,340/Energy_label!$Q$17))/10)+10^(G$45/10))+G$5</f>
        <v>#NUM!</v>
      </c>
      <c r="H57" s="40" t="e">
        <f>10*LOG(10^((H$22-H$5-datablad!J13*IF(AND(Energy_label!$H$12&gt;-10,Energy_label!$H$12&lt;30),1,340/Energy_label!$Q$17))/10)+10^(H$45/10))+H$5</f>
        <v>#NUM!</v>
      </c>
      <c r="I57" s="40" t="e">
        <f>10*LOG(10^((I$22-I$5-datablad!K13*IF(AND(Energy_label!$H$12&gt;-10,Energy_label!$H$12&lt;30),1,340/Energy_label!$Q$17))/10)+10^(I$45/10))+I$5</f>
        <v>#NUM!</v>
      </c>
      <c r="J57" s="40" t="e">
        <f>10*LOG(10^((J$22-J$5-datablad!L13*IF(AND(Energy_label!$H$12&gt;-10,Energy_label!$H$12&lt;30),1,340/Energy_label!$Q$17))/10)+10^(J$45/10))+J$5</f>
        <v>#NUM!</v>
      </c>
      <c r="K57" s="40" t="e">
        <f>10*LOG(10^((K$22-K$5-datablad!M13*IF(AND(Energy_label!$H$12&gt;-10,Energy_label!$H$12&lt;30),1,340/Energy_label!$Q$17))/10)+10^(K$45/10))+K$5</f>
        <v>#NUM!</v>
      </c>
      <c r="L57" s="40" t="e">
        <f>10*LOG(10^((L$22-L$5-datablad!N13*IF(AND(Energy_label!$H$12&gt;-10,Energy_label!$H$12&lt;30),1,340/Energy_label!$Q$17))/10)+10^(L$45/10))+L$5</f>
        <v>#NUM!</v>
      </c>
      <c r="M57" s="42" t="e">
        <f t="shared" si="8"/>
        <v>#NUM!</v>
      </c>
      <c r="N57" s="31" t="e">
        <f>IF(M57&lt;Energy_label!N$8,1,0)</f>
        <v>#NUM!</v>
      </c>
      <c r="O57" s="56" t="e">
        <f>0.5*Energy_label!$N$17*Energy_label!$G$17^2*O$25</f>
        <v>#NUM!</v>
      </c>
      <c r="P57" s="56" t="e">
        <f>0.5*Energy_label!$N$17*Energy_label!$G$17^2*P$5*B57/1000</f>
        <v>#NUM!</v>
      </c>
      <c r="Q57" s="56" t="e">
        <f>0.5*Energy_label!$N$17*Energy_label!$G$17^2*Q$25</f>
        <v>#NUM!</v>
      </c>
      <c r="R57" s="58" t="e">
        <f t="shared" si="9"/>
        <v>#NUM!</v>
      </c>
      <c r="U57" t="s">
        <v>15</v>
      </c>
      <c r="V57" s="66" t="e">
        <f>(V48+Energy_label!G$17)/2</f>
        <v>#NUM!</v>
      </c>
    </row>
    <row r="58" spans="2:22" x14ac:dyDescent="0.15">
      <c r="B58">
        <v>3250</v>
      </c>
      <c r="C58" s="40" t="e">
        <f>10*LOG(10^((C$22-C$5-datablad!E14*IF(AND(Energy_label!$H$12&gt;-10,Energy_label!$H$12&lt;30),1,340/Energy_label!$Q$17))/10)+10^(C$45/10))+C$5</f>
        <v>#NUM!</v>
      </c>
      <c r="D58" s="40" t="e">
        <f>10*LOG(10^((D$22-D$5-datablad!F14*IF(AND(Energy_label!$H$12&gt;-10,Energy_label!$H$12&lt;30),1,340/Energy_label!$Q$17))/10)+10^(D$45/10))+D$5</f>
        <v>#NUM!</v>
      </c>
      <c r="E58" s="40" t="e">
        <f>10*LOG(10^((E$22-E$5-datablad!G14*IF(AND(Energy_label!$H$12&gt;-10,Energy_label!$H$12&lt;30),1,340/Energy_label!$Q$17))/10)+10^(E$45/10))+E$5</f>
        <v>#NUM!</v>
      </c>
      <c r="F58" s="40" t="e">
        <f>10*LOG(10^((F$22-F$5-datablad!H14*IF(AND(Energy_label!$H$12&gt;-10,Energy_label!$H$12&lt;30),1,340/Energy_label!$Q$17))/10)+10^(F$45/10))+F$5</f>
        <v>#NUM!</v>
      </c>
      <c r="G58" s="40" t="e">
        <f>10*LOG(10^((G$22-G$5-datablad!I14*IF(AND(Energy_label!$H$12&gt;-10,Energy_label!$H$12&lt;30),1,340/Energy_label!$Q$17))/10)+10^(G$45/10))+G$5</f>
        <v>#NUM!</v>
      </c>
      <c r="H58" s="40" t="e">
        <f>10*LOG(10^((H$22-H$5-datablad!J14*IF(AND(Energy_label!$H$12&gt;-10,Energy_label!$H$12&lt;30),1,340/Energy_label!$Q$17))/10)+10^(H$45/10))+H$5</f>
        <v>#NUM!</v>
      </c>
      <c r="I58" s="40" t="e">
        <f>10*LOG(10^((I$22-I$5-datablad!K14*IF(AND(Energy_label!$H$12&gt;-10,Energy_label!$H$12&lt;30),1,340/Energy_label!$Q$17))/10)+10^(I$45/10))+I$5</f>
        <v>#NUM!</v>
      </c>
      <c r="J58" s="40" t="e">
        <f>10*LOG(10^((J$22-J$5-datablad!L14*IF(AND(Energy_label!$H$12&gt;-10,Energy_label!$H$12&lt;30),1,340/Energy_label!$Q$17))/10)+10^(J$45/10))+J$5</f>
        <v>#NUM!</v>
      </c>
      <c r="K58" s="40" t="e">
        <f>10*LOG(10^((K$22-K$5-datablad!M14*IF(AND(Energy_label!$H$12&gt;-10,Energy_label!$H$12&lt;30),1,340/Energy_label!$Q$17))/10)+10^(K$45/10))+K$5</f>
        <v>#NUM!</v>
      </c>
      <c r="L58" s="40" t="e">
        <f>10*LOG(10^((L$22-L$5-datablad!N14*IF(AND(Energy_label!$H$12&gt;-10,Energy_label!$H$12&lt;30),1,340/Energy_label!$Q$17))/10)+10^(L$45/10))+L$5</f>
        <v>#NUM!</v>
      </c>
      <c r="M58" s="42" t="e">
        <f t="shared" si="8"/>
        <v>#NUM!</v>
      </c>
      <c r="N58" s="31" t="e">
        <f>IF(M58&lt;Energy_label!N$8,1,0)</f>
        <v>#NUM!</v>
      </c>
      <c r="O58" s="56" t="e">
        <f>0.5*Energy_label!$N$17*Energy_label!$G$17^2*O$25</f>
        <v>#NUM!</v>
      </c>
      <c r="P58" s="56" t="e">
        <f>0.5*Energy_label!$N$17*Energy_label!$G$17^2*P$5*B58/1000</f>
        <v>#NUM!</v>
      </c>
      <c r="Q58" s="56" t="e">
        <f>0.5*Energy_label!$N$17*Energy_label!$G$17^2*Q$25</f>
        <v>#NUM!</v>
      </c>
      <c r="R58" s="58" t="e">
        <f t="shared" si="9"/>
        <v>#NUM!</v>
      </c>
    </row>
    <row r="59" spans="2:22" x14ac:dyDescent="0.15">
      <c r="B59">
        <v>3500</v>
      </c>
      <c r="C59" s="40" t="e">
        <f>10*LOG(10^((C$22-C$5-datablad!E15*IF(AND(Energy_label!$H$12&gt;-10,Energy_label!$H$12&lt;30),1,340/Energy_label!$Q$17))/10)+10^(C$45/10))+C$5</f>
        <v>#NUM!</v>
      </c>
      <c r="D59" s="40" t="e">
        <f>10*LOG(10^((D$22-D$5-datablad!F15*IF(AND(Energy_label!$H$12&gt;-10,Energy_label!$H$12&lt;30),1,340/Energy_label!$Q$17))/10)+10^(D$45/10))+D$5</f>
        <v>#NUM!</v>
      </c>
      <c r="E59" s="40" t="e">
        <f>10*LOG(10^((E$22-E$5-datablad!G15*IF(AND(Energy_label!$H$12&gt;-10,Energy_label!$H$12&lt;30),1,340/Energy_label!$Q$17))/10)+10^(E$45/10))+E$5</f>
        <v>#NUM!</v>
      </c>
      <c r="F59" s="40" t="e">
        <f>10*LOG(10^((F$22-F$5-datablad!H15*IF(AND(Energy_label!$H$12&gt;-10,Energy_label!$H$12&lt;30),1,340/Energy_label!$Q$17))/10)+10^(F$45/10))+F$5</f>
        <v>#NUM!</v>
      </c>
      <c r="G59" s="40" t="e">
        <f>10*LOG(10^((G$22-G$5-datablad!I15*IF(AND(Energy_label!$H$12&gt;-10,Energy_label!$H$12&lt;30),1,340/Energy_label!$Q$17))/10)+10^(G$45/10))+G$5</f>
        <v>#NUM!</v>
      </c>
      <c r="H59" s="40" t="e">
        <f>10*LOG(10^((H$22-H$5-datablad!J15*IF(AND(Energy_label!$H$12&gt;-10,Energy_label!$H$12&lt;30),1,340/Energy_label!$Q$17))/10)+10^(H$45/10))+H$5</f>
        <v>#NUM!</v>
      </c>
      <c r="I59" s="40" t="e">
        <f>10*LOG(10^((I$22-I$5-datablad!K15*IF(AND(Energy_label!$H$12&gt;-10,Energy_label!$H$12&lt;30),1,340/Energy_label!$Q$17))/10)+10^(I$45/10))+I$5</f>
        <v>#NUM!</v>
      </c>
      <c r="J59" s="40" t="e">
        <f>10*LOG(10^((J$22-J$5-datablad!L15*IF(AND(Energy_label!$H$12&gt;-10,Energy_label!$H$12&lt;30),1,340/Energy_label!$Q$17))/10)+10^(J$45/10))+J$5</f>
        <v>#NUM!</v>
      </c>
      <c r="K59" s="40" t="e">
        <f>10*LOG(10^((K$22-K$5-datablad!M15*IF(AND(Energy_label!$H$12&gt;-10,Energy_label!$H$12&lt;30),1,340/Energy_label!$Q$17))/10)+10^(K$45/10))+K$5</f>
        <v>#NUM!</v>
      </c>
      <c r="L59" s="40" t="e">
        <f>10*LOG(10^((L$22-L$5-datablad!N15*IF(AND(Energy_label!$H$12&gt;-10,Energy_label!$H$12&lt;30),1,340/Energy_label!$Q$17))/10)+10^(L$45/10))+L$5</f>
        <v>#NUM!</v>
      </c>
      <c r="M59" s="42" t="e">
        <f t="shared" si="8"/>
        <v>#NUM!</v>
      </c>
      <c r="N59" s="31" t="e">
        <f>IF(M59&lt;Energy_label!N$8,1,0)</f>
        <v>#NUM!</v>
      </c>
      <c r="O59" s="56" t="e">
        <f>0.5*Energy_label!$N$17*Energy_label!$G$17^2*O$25</f>
        <v>#NUM!</v>
      </c>
      <c r="P59" s="56" t="e">
        <f>0.5*Energy_label!$N$17*Energy_label!$G$17^2*P$5*B59/1000</f>
        <v>#NUM!</v>
      </c>
      <c r="Q59" s="56" t="e">
        <f>0.5*Energy_label!$N$17*Energy_label!$G$17^2*Q$25</f>
        <v>#NUM!</v>
      </c>
      <c r="R59" s="58" t="e">
        <f t="shared" si="9"/>
        <v>#NUM!</v>
      </c>
    </row>
    <row r="60" spans="2:22" x14ac:dyDescent="0.15">
      <c r="B60">
        <v>3750</v>
      </c>
      <c r="C60" s="40" t="e">
        <f>10*LOG(10^((C$22-C$5-datablad!E16*IF(AND(Energy_label!$H$12&gt;-10,Energy_label!$H$12&lt;30),1,340/Energy_label!$Q$17))/10)+10^(C$45/10))+C$5</f>
        <v>#NUM!</v>
      </c>
      <c r="D60" s="40" t="e">
        <f>10*LOG(10^((D$22-D$5-datablad!F16*IF(AND(Energy_label!$H$12&gt;-10,Energy_label!$H$12&lt;30),1,340/Energy_label!$Q$17))/10)+10^(D$45/10))+D$5</f>
        <v>#NUM!</v>
      </c>
      <c r="E60" s="40" t="e">
        <f>10*LOG(10^((E$22-E$5-datablad!G16*IF(AND(Energy_label!$H$12&gt;-10,Energy_label!$H$12&lt;30),1,340/Energy_label!$Q$17))/10)+10^(E$45/10))+E$5</f>
        <v>#NUM!</v>
      </c>
      <c r="F60" s="40" t="e">
        <f>10*LOG(10^((F$22-F$5-datablad!H16*IF(AND(Energy_label!$H$12&gt;-10,Energy_label!$H$12&lt;30),1,340/Energy_label!$Q$17))/10)+10^(F$45/10))+F$5</f>
        <v>#NUM!</v>
      </c>
      <c r="G60" s="40" t="e">
        <f>10*LOG(10^((G$22-G$5-datablad!I16*IF(AND(Energy_label!$H$12&gt;-10,Energy_label!$H$12&lt;30),1,340/Energy_label!$Q$17))/10)+10^(G$45/10))+G$5</f>
        <v>#NUM!</v>
      </c>
      <c r="H60" s="40" t="e">
        <f>10*LOG(10^((H$22-H$5-datablad!J16*IF(AND(Energy_label!$H$12&gt;-10,Energy_label!$H$12&lt;30),1,340/Energy_label!$Q$17))/10)+10^(H$45/10))+H$5</f>
        <v>#NUM!</v>
      </c>
      <c r="I60" s="40" t="e">
        <f>10*LOG(10^((I$22-I$5-datablad!K16*IF(AND(Energy_label!$H$12&gt;-10,Energy_label!$H$12&lt;30),1,340/Energy_label!$Q$17))/10)+10^(I$45/10))+I$5</f>
        <v>#NUM!</v>
      </c>
      <c r="J60" s="40" t="e">
        <f>10*LOG(10^((J$22-J$5-datablad!L16*IF(AND(Energy_label!$H$12&gt;-10,Energy_label!$H$12&lt;30),1,340/Energy_label!$Q$17))/10)+10^(J$45/10))+J$5</f>
        <v>#NUM!</v>
      </c>
      <c r="K60" s="40" t="e">
        <f>10*LOG(10^((K$22-K$5-datablad!M16*IF(AND(Energy_label!$H$12&gt;-10,Energy_label!$H$12&lt;30),1,340/Energy_label!$Q$17))/10)+10^(K$45/10))+K$5</f>
        <v>#NUM!</v>
      </c>
      <c r="L60" s="40" t="e">
        <f>10*LOG(10^((L$22-L$5-datablad!N16*IF(AND(Energy_label!$H$12&gt;-10,Energy_label!$H$12&lt;30),1,340/Energy_label!$Q$17))/10)+10^(L$45/10))+L$5</f>
        <v>#NUM!</v>
      </c>
      <c r="M60" s="42" t="e">
        <f t="shared" si="8"/>
        <v>#NUM!</v>
      </c>
      <c r="N60" s="31" t="e">
        <f>IF(M60&lt;Energy_label!N$8,1,0)</f>
        <v>#NUM!</v>
      </c>
      <c r="O60" s="56" t="e">
        <f>0.5*Energy_label!$N$17*Energy_label!$G$17^2*O$25</f>
        <v>#NUM!</v>
      </c>
      <c r="P60" s="56" t="e">
        <f>0.5*Energy_label!$N$17*Energy_label!$G$17^2*P$5*B60/1000</f>
        <v>#NUM!</v>
      </c>
      <c r="Q60" s="56" t="e">
        <f>0.5*Energy_label!$N$17*Energy_label!$G$17^2*Q$25</f>
        <v>#NUM!</v>
      </c>
      <c r="R60" s="58" t="e">
        <f t="shared" si="9"/>
        <v>#NUM!</v>
      </c>
    </row>
    <row r="61" spans="2:22" x14ac:dyDescent="0.15">
      <c r="B61">
        <v>4000</v>
      </c>
      <c r="C61" s="40" t="e">
        <f>10*LOG(10^((C$22-C$5-datablad!E17*IF(AND(Energy_label!$H$12&gt;-10,Energy_label!$H$12&lt;30),1,340/Energy_label!$Q$17))/10)+10^(C$45/10))+C$5</f>
        <v>#NUM!</v>
      </c>
      <c r="D61" s="40" t="e">
        <f>10*LOG(10^((D$22-D$5-datablad!F17*IF(AND(Energy_label!$H$12&gt;-10,Energy_label!$H$12&lt;30),1,340/Energy_label!$Q$17))/10)+10^(D$45/10))+D$5</f>
        <v>#NUM!</v>
      </c>
      <c r="E61" s="40" t="e">
        <f>10*LOG(10^((E$22-E$5-datablad!G17*IF(AND(Energy_label!$H$12&gt;-10,Energy_label!$H$12&lt;30),1,340/Energy_label!$Q$17))/10)+10^(E$45/10))+E$5</f>
        <v>#NUM!</v>
      </c>
      <c r="F61" s="40" t="e">
        <f>10*LOG(10^((F$22-F$5-datablad!H17*IF(AND(Energy_label!$H$12&gt;-10,Energy_label!$H$12&lt;30),1,340/Energy_label!$Q$17))/10)+10^(F$45/10))+F$5</f>
        <v>#NUM!</v>
      </c>
      <c r="G61" s="40" t="e">
        <f>10*LOG(10^((G$22-G$5-datablad!I17*IF(AND(Energy_label!$H$12&gt;-10,Energy_label!$H$12&lt;30),1,340/Energy_label!$Q$17))/10)+10^(G$45/10))+G$5</f>
        <v>#NUM!</v>
      </c>
      <c r="H61" s="40" t="e">
        <f>10*LOG(10^((H$22-H$5-datablad!J17*IF(AND(Energy_label!$H$12&gt;-10,Energy_label!$H$12&lt;30),1,340/Energy_label!$Q$17))/10)+10^(H$45/10))+H$5</f>
        <v>#NUM!</v>
      </c>
      <c r="I61" s="40" t="e">
        <f>10*LOG(10^((I$22-I$5-datablad!K17*IF(AND(Energy_label!$H$12&gt;-10,Energy_label!$H$12&lt;30),1,340/Energy_label!$Q$17))/10)+10^(I$45/10))+I$5</f>
        <v>#NUM!</v>
      </c>
      <c r="J61" s="40" t="e">
        <f>10*LOG(10^((J$22-J$5-datablad!L17*IF(AND(Energy_label!$H$12&gt;-10,Energy_label!$H$12&lt;30),1,340/Energy_label!$Q$17))/10)+10^(J$45/10))+J$5</f>
        <v>#NUM!</v>
      </c>
      <c r="K61" s="40" t="e">
        <f>10*LOG(10^((K$22-K$5-datablad!M17*IF(AND(Energy_label!$H$12&gt;-10,Energy_label!$H$12&lt;30),1,340/Energy_label!$Q$17))/10)+10^(K$45/10))+K$5</f>
        <v>#NUM!</v>
      </c>
      <c r="L61" s="40" t="e">
        <f>10*LOG(10^((L$22-L$5-datablad!N17*IF(AND(Energy_label!$H$12&gt;-10,Energy_label!$H$12&lt;30),1,340/Energy_label!$Q$17))/10)+10^(L$45/10))+L$5</f>
        <v>#NUM!</v>
      </c>
      <c r="M61" s="42" t="e">
        <f t="shared" si="8"/>
        <v>#NUM!</v>
      </c>
      <c r="N61" s="31" t="e">
        <f>IF(M61&lt;Energy_label!N$8,1,0)</f>
        <v>#NUM!</v>
      </c>
      <c r="O61" s="56" t="e">
        <f>0.5*Energy_label!$N$17*Energy_label!$G$17^2*O$25</f>
        <v>#NUM!</v>
      </c>
      <c r="P61" s="56" t="e">
        <f>0.5*Energy_label!$N$17*Energy_label!$G$17^2*P$5*B61/1000</f>
        <v>#NUM!</v>
      </c>
      <c r="Q61" s="56" t="e">
        <f>0.5*Energy_label!$N$17*Energy_label!$G$17^2*Q$25</f>
        <v>#NUM!</v>
      </c>
      <c r="R61" s="58" t="e">
        <f t="shared" si="9"/>
        <v>#NUM!</v>
      </c>
    </row>
    <row r="62" spans="2:22" x14ac:dyDescent="0.15">
      <c r="B62">
        <v>4250</v>
      </c>
      <c r="C62" s="40" t="e">
        <f>10*LOG(10^((C$22-C$5-datablad!E18*IF(AND(Energy_label!$H$12&gt;-10,Energy_label!$H$12&lt;30),1,340/Energy_label!$Q$17))/10)+10^(C$45/10))+C$5</f>
        <v>#NUM!</v>
      </c>
      <c r="D62" s="40" t="e">
        <f>10*LOG(10^((D$22-D$5-datablad!F18*IF(AND(Energy_label!$H$12&gt;-10,Energy_label!$H$12&lt;30),1,340/Energy_label!$Q$17))/10)+10^(D$45/10))+D$5</f>
        <v>#NUM!</v>
      </c>
      <c r="E62" s="40" t="e">
        <f>10*LOG(10^((E$22-E$5-datablad!G18*IF(AND(Energy_label!$H$12&gt;-10,Energy_label!$H$12&lt;30),1,340/Energy_label!$Q$17))/10)+10^(E$45/10))+E$5</f>
        <v>#NUM!</v>
      </c>
      <c r="F62" s="40" t="e">
        <f>10*LOG(10^((F$22-F$5-datablad!H18*IF(AND(Energy_label!$H$12&gt;-10,Energy_label!$H$12&lt;30),1,340/Energy_label!$Q$17))/10)+10^(F$45/10))+F$5</f>
        <v>#NUM!</v>
      </c>
      <c r="G62" s="40" t="e">
        <f>10*LOG(10^((G$22-G$5-datablad!I18*IF(AND(Energy_label!$H$12&gt;-10,Energy_label!$H$12&lt;30),1,340/Energy_label!$Q$17))/10)+10^(G$45/10))+G$5</f>
        <v>#NUM!</v>
      </c>
      <c r="H62" s="40" t="e">
        <f>10*LOG(10^((H$22-H$5-datablad!J18*IF(AND(Energy_label!$H$12&gt;-10,Energy_label!$H$12&lt;30),1,340/Energy_label!$Q$17))/10)+10^(H$45/10))+H$5</f>
        <v>#NUM!</v>
      </c>
      <c r="I62" s="40" t="e">
        <f>10*LOG(10^((I$22-I$5-datablad!K18*IF(AND(Energy_label!$H$12&gt;-10,Energy_label!$H$12&lt;30),1,340/Energy_label!$Q$17))/10)+10^(I$45/10))+I$5</f>
        <v>#NUM!</v>
      </c>
      <c r="J62" s="40" t="e">
        <f>10*LOG(10^((J$22-J$5-datablad!L18*IF(AND(Energy_label!$H$12&gt;-10,Energy_label!$H$12&lt;30),1,340/Energy_label!$Q$17))/10)+10^(J$45/10))+J$5</f>
        <v>#NUM!</v>
      </c>
      <c r="K62" s="40" t="e">
        <f>10*LOG(10^((K$22-K$5-datablad!M18*IF(AND(Energy_label!$H$12&gt;-10,Energy_label!$H$12&lt;30),1,340/Energy_label!$Q$17))/10)+10^(K$45/10))+K$5</f>
        <v>#NUM!</v>
      </c>
      <c r="L62" s="40" t="e">
        <f>10*LOG(10^((L$22-L$5-datablad!N18*IF(AND(Energy_label!$H$12&gt;-10,Energy_label!$H$12&lt;30),1,340/Energy_label!$Q$17))/10)+10^(L$45/10))+L$5</f>
        <v>#NUM!</v>
      </c>
      <c r="M62" s="42" t="e">
        <f t="shared" si="8"/>
        <v>#NUM!</v>
      </c>
      <c r="N62" s="31" t="e">
        <f>IF(M62&lt;Energy_label!N$8,1,0)</f>
        <v>#NUM!</v>
      </c>
      <c r="O62" s="56" t="e">
        <f>0.5*Energy_label!$N$17*Energy_label!$G$17^2*O$25</f>
        <v>#NUM!</v>
      </c>
      <c r="P62" s="56" t="e">
        <f>0.5*Energy_label!$N$17*Energy_label!$G$17^2*P$5*B62/1000</f>
        <v>#NUM!</v>
      </c>
      <c r="Q62" s="56" t="e">
        <f>0.5*Energy_label!$N$17*Energy_label!$G$17^2*Q$25</f>
        <v>#NUM!</v>
      </c>
      <c r="R62" s="58" t="e">
        <f>R63</f>
        <v>#NUM!</v>
      </c>
      <c r="V62" t="e">
        <f>Energy_label!G29*rekenblad!AB29/V63</f>
        <v>#NUM!</v>
      </c>
    </row>
    <row r="63" spans="2:22" ht="12" thickBot="1" x14ac:dyDescent="0.2">
      <c r="B63">
        <v>4500</v>
      </c>
      <c r="C63" s="40" t="e">
        <f>10*LOG(10^((C$22-C$5-datablad!E19*IF(AND(Energy_label!$H$12&gt;-10,Energy_label!$H$12&lt;30),1,340/Energy_label!$Q$17))/10)+10^(C$45/10))+C$5</f>
        <v>#NUM!</v>
      </c>
      <c r="D63" s="40" t="e">
        <f>10*LOG(10^((D$22-D$5-datablad!F19*IF(AND(Energy_label!$H$12&gt;-10,Energy_label!$H$12&lt;30),1,340/Energy_label!$Q$17))/10)+10^(D$45/10))+D$5</f>
        <v>#NUM!</v>
      </c>
      <c r="E63" s="40" t="e">
        <f>10*LOG(10^((E$22-E$5-datablad!G19*IF(AND(Energy_label!$H$12&gt;-10,Energy_label!$H$12&lt;30),1,340/Energy_label!$Q$17))/10)+10^(E$45/10))+E$5</f>
        <v>#NUM!</v>
      </c>
      <c r="F63" s="40" t="e">
        <f>10*LOG(10^((F$22-F$5-datablad!H19*IF(AND(Energy_label!$H$12&gt;-10,Energy_label!$H$12&lt;30),1,340/Energy_label!$Q$17))/10)+10^(F$45/10))+F$5</f>
        <v>#NUM!</v>
      </c>
      <c r="G63" s="40" t="e">
        <f>10*LOG(10^((G$22-G$5-datablad!I19*IF(AND(Energy_label!$H$12&gt;-10,Energy_label!$H$12&lt;30),1,340/Energy_label!$Q$17))/10)+10^(G$45/10))+G$5</f>
        <v>#NUM!</v>
      </c>
      <c r="H63" s="40" t="e">
        <f>10*LOG(10^((H$22-H$5-datablad!J19*IF(AND(Energy_label!$H$12&gt;-10,Energy_label!$H$12&lt;30),1,340/Energy_label!$Q$17))/10)+10^(H$45/10))+H$5</f>
        <v>#NUM!</v>
      </c>
      <c r="I63" s="40" t="e">
        <f>10*LOG(10^((I$22-I$5-datablad!K19*IF(AND(Energy_label!$H$12&gt;-10,Energy_label!$H$12&lt;30),1,340/Energy_label!$Q$17))/10)+10^(I$45/10))+I$5</f>
        <v>#NUM!</v>
      </c>
      <c r="J63" s="40" t="e">
        <f>10*LOG(10^((J$22-J$5-datablad!L19*IF(AND(Energy_label!$H$12&gt;-10,Energy_label!$H$12&lt;30),1,340/Energy_label!$Q$17))/10)+10^(J$45/10))+J$5</f>
        <v>#NUM!</v>
      </c>
      <c r="K63" s="40" t="e">
        <f>10*LOG(10^((K$22-K$5-datablad!M19*IF(AND(Energy_label!$H$12&gt;-10,Energy_label!$H$12&lt;30),1,340/Energy_label!$Q$17))/10)+10^(K$45/10))+K$5</f>
        <v>#NUM!</v>
      </c>
      <c r="L63" s="40" t="e">
        <f>10*LOG(10^((L$22-L$5-datablad!N19*IF(AND(Energy_label!$H$12&gt;-10,Energy_label!$H$12&lt;30),1,340/Energy_label!$Q$17))/10)+10^(L$45/10))+L$5</f>
        <v>#NUM!</v>
      </c>
      <c r="M63" s="43" t="e">
        <f t="shared" si="8"/>
        <v>#NUM!</v>
      </c>
      <c r="N63" s="31" t="e">
        <f>IF(M63&lt;Energy_label!N$8,1,0)</f>
        <v>#NUM!</v>
      </c>
      <c r="O63" s="56" t="e">
        <f>0.5*Energy_label!$N$17*Energy_label!$G$17^2*O$25</f>
        <v>#NUM!</v>
      </c>
      <c r="P63" s="56" t="e">
        <f>0.5*Energy_label!$N$17*Energy_label!$G$17^2*P$5*B63/1000</f>
        <v>#NUM!</v>
      </c>
      <c r="Q63" s="56" t="e">
        <f>0.5*Energy_label!$N$17*Energy_label!$G$17^2*Q$25</f>
        <v>#NUM!</v>
      </c>
      <c r="R63" s="59" t="e">
        <f>R67</f>
        <v>#NUM!</v>
      </c>
      <c r="V63" t="e">
        <f>INDEX(V64:V66,N3,1)</f>
        <v>#NUM!</v>
      </c>
    </row>
    <row r="64" spans="2:22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U64" t="s">
        <v>13</v>
      </c>
      <c r="V64" s="64" t="e">
        <f>Energy_label!G$17+(V46-Energy_label!G$17)/3</f>
        <v>#NUM!</v>
      </c>
    </row>
    <row r="65" spans="1:22" x14ac:dyDescent="0.15">
      <c r="C65" s="31" t="e">
        <f t="shared" ref="C65:K65" si="10">-0.55*(LOG(C1/$V$45)*3.33-1.65)^2+0.8*(LOG(C1/$V$45)*3.33-1.65)-6+$M65+C3</f>
        <v>#NUM!</v>
      </c>
      <c r="D65" s="31" t="e">
        <f t="shared" si="10"/>
        <v>#NUM!</v>
      </c>
      <c r="E65" s="31" t="e">
        <f t="shared" si="10"/>
        <v>#NUM!</v>
      </c>
      <c r="F65" s="31" t="e">
        <f t="shared" si="10"/>
        <v>#NUM!</v>
      </c>
      <c r="G65" s="31" t="e">
        <f t="shared" si="10"/>
        <v>#NUM!</v>
      </c>
      <c r="H65" s="31" t="e">
        <f t="shared" si="10"/>
        <v>#NUM!</v>
      </c>
      <c r="I65" s="31" t="e">
        <f t="shared" si="10"/>
        <v>#NUM!</v>
      </c>
      <c r="J65" s="31" t="e">
        <f t="shared" si="10"/>
        <v>#NUM!</v>
      </c>
      <c r="K65" s="31" t="e">
        <f t="shared" si="10"/>
        <v>#NUM!</v>
      </c>
      <c r="L65" s="31" t="e">
        <f>-0.55*(LOG(L1/$V$45)*3.33-1.65)^2+0.8*(LOG(L1/$V$45)*3.33-1.65)-6+$M65+L3</f>
        <v>#NUM!</v>
      </c>
      <c r="M65" s="31" t="e">
        <f>7+50*LOG(V45)+10*LOG(Energy_label!I17)</f>
        <v>#NUM!</v>
      </c>
      <c r="N65" s="31"/>
      <c r="O65" s="31"/>
      <c r="P65" s="31"/>
      <c r="Q65" s="31"/>
      <c r="R65" s="31"/>
      <c r="U65" t="s">
        <v>14</v>
      </c>
      <c r="V65" s="64" t="e">
        <f>Energy_label!G$17+(V47-Energy_label!G$17)/3</f>
        <v>#NUM!</v>
      </c>
    </row>
    <row r="66" spans="1:22" ht="12" thickBot="1" x14ac:dyDescent="0.2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U66" t="s">
        <v>15</v>
      </c>
      <c r="V66" s="64" t="e">
        <f>Energy_label!G$17+(V48-Energy_label!G$17)/3</f>
        <v>#NUM!</v>
      </c>
    </row>
    <row r="67" spans="1:22" x14ac:dyDescent="0.15">
      <c r="A67" t="s">
        <v>56</v>
      </c>
      <c r="B67">
        <v>500</v>
      </c>
      <c r="C67" s="40" t="e">
        <f>10*LOG(10^((C$63-C$5-datablad!E3*IF(AND(Energy_label!$H$12&gt;-10,Energy_label!$H$12&lt;30),1,340/Energy_label!$Q$17))/10)+10^(C$65/10))+C$5</f>
        <v>#NUM!</v>
      </c>
      <c r="D67" s="40" t="e">
        <f>10*LOG(10^((D$63-D$5-datablad!F3*IF(AND(Energy_label!$H$12&gt;-10,Energy_label!$H$12&lt;30),1,340/Energy_label!$Q$17))/10)+10^(D$65/10))+D$5</f>
        <v>#NUM!</v>
      </c>
      <c r="E67" s="40" t="e">
        <f>10*LOG(10^((E$63-E$5-datablad!G3*IF(AND(Energy_label!$H$12&gt;-10,Energy_label!$H$12&lt;30),1,340/Energy_label!$Q$17))/10)+10^(E$65/10))+E$5</f>
        <v>#NUM!</v>
      </c>
      <c r="F67" s="40" t="e">
        <f>10*LOG(10^((F$63-F$5-datablad!H3*IF(AND(Energy_label!$H$12&gt;-10,Energy_label!$H$12&lt;30),1,340/Energy_label!$Q$17))/10)+10^(F$65/10))+F$5</f>
        <v>#NUM!</v>
      </c>
      <c r="G67" s="40" t="e">
        <f>10*LOG(10^((G$63-G$5-datablad!I3*IF(AND(Energy_label!$H$12&gt;-10,Energy_label!$H$12&lt;30),1,340/Energy_label!$Q$17))/10)+10^(G$65/10))+G$5</f>
        <v>#NUM!</v>
      </c>
      <c r="H67" s="40" t="e">
        <f>10*LOG(10^((H$63-H$5-datablad!J3*IF(AND(Energy_label!$H$12&gt;-10,Energy_label!$H$12&lt;30),1,340/Energy_label!$Q$17))/10)+10^(H$65/10))+H$5</f>
        <v>#NUM!</v>
      </c>
      <c r="I67" s="40" t="e">
        <f>10*LOG(10^((I$63-I$5-datablad!K3*IF(AND(Energy_label!$H$12&gt;-10,Energy_label!$H$12&lt;30),1,340/Energy_label!$Q$17))/10)+10^(I$65/10))+I$5</f>
        <v>#NUM!</v>
      </c>
      <c r="J67" s="40" t="e">
        <f>10*LOG(10^((J$63-J$5-datablad!L3*IF(AND(Energy_label!$H$12&gt;-10,Energy_label!$H$12&lt;30),1,340/Energy_label!$Q$17))/10)+10^(J$65/10))+J$5</f>
        <v>#NUM!</v>
      </c>
      <c r="K67" s="40" t="e">
        <f>10*LOG(10^((K$63-K$5-datablad!M3*IF(AND(Energy_label!$H$12&gt;-10,Energy_label!$H$12&lt;30),1,340/Energy_label!$Q$17))/10)+10^(K$65/10))+K$5</f>
        <v>#NUM!</v>
      </c>
      <c r="L67" s="40" t="e">
        <f>10*LOG(10^((L$63-L$5-datablad!N3*IF(AND(Energy_label!$H$12&gt;-10,Energy_label!$H$12&lt;30),1,340/Energy_label!$Q$17))/10)+10^(L$65/10))+L$5</f>
        <v>#NUM!</v>
      </c>
      <c r="M67" s="41" t="e">
        <f t="shared" ref="M67:M82" si="11">10*LOG(10^(C67/10)+10^(D67/10)+10^(E67/10)+10^(F67/10)+10^(G67/10)+10^(H67/10)+10^(I67/10)+10^(J67/10)+10^(K67/10)+10^(L67/10))</f>
        <v>#NUM!</v>
      </c>
      <c r="N67" s="31" t="e">
        <f>IF(M67&lt;Energy_label!N$8,1,0)</f>
        <v>#NUM!</v>
      </c>
      <c r="O67" s="56" t="e">
        <f>0.5*Energy_label!$N$17*Energy_label!$G$17^2*O$25</f>
        <v>#NUM!</v>
      </c>
      <c r="P67" s="56" t="e">
        <f>0.5*Energy_label!$N$17*Energy_label!$G$17^2*P$5*B67/1000</f>
        <v>#NUM!</v>
      </c>
      <c r="Q67" s="56" t="e">
        <f>0.5*Energy_label!$N$17*Energy_label!$G$17^2*Q$25</f>
        <v>#NUM!</v>
      </c>
      <c r="R67" s="57" t="e">
        <f>R$22+O67+P67+Q67+O$63+P$63+Q$63</f>
        <v>#NUM!</v>
      </c>
    </row>
    <row r="68" spans="1:22" x14ac:dyDescent="0.15">
      <c r="B68">
        <v>750</v>
      </c>
      <c r="C68" s="40" t="e">
        <f>10*LOG(10^((C$63-C$5-datablad!E4*IF(AND(Energy_label!$H$12&gt;-10,Energy_label!$H$12&lt;30),1,340/Energy_label!$Q$17))/10)+10^(C$65/10))+C$5</f>
        <v>#NUM!</v>
      </c>
      <c r="D68" s="40" t="e">
        <f>10*LOG(10^((D$63-D$5-datablad!F4*IF(AND(Energy_label!$H$12&gt;-10,Energy_label!$H$12&lt;30),1,340/Energy_label!$Q$17))/10)+10^(D$65/10))+D$5</f>
        <v>#NUM!</v>
      </c>
      <c r="E68" s="40" t="e">
        <f>10*LOG(10^((E$63-E$5-datablad!G4*IF(AND(Energy_label!$H$12&gt;-10,Energy_label!$H$12&lt;30),1,340/Energy_label!$Q$17))/10)+10^(E$65/10))+E$5</f>
        <v>#NUM!</v>
      </c>
      <c r="F68" s="40" t="e">
        <f>10*LOG(10^((F$63-F$5-datablad!H4*IF(AND(Energy_label!$H$12&gt;-10,Energy_label!$H$12&lt;30),1,340/Energy_label!$Q$17))/10)+10^(F$65/10))+F$5</f>
        <v>#NUM!</v>
      </c>
      <c r="G68" s="40" t="e">
        <f>10*LOG(10^((G$63-G$5-datablad!I4*IF(AND(Energy_label!$H$12&gt;-10,Energy_label!$H$12&lt;30),1,340/Energy_label!$Q$17))/10)+10^(G$65/10))+G$5</f>
        <v>#NUM!</v>
      </c>
      <c r="H68" s="40" t="e">
        <f>10*LOG(10^((H$63-H$5-datablad!J4*IF(AND(Energy_label!$H$12&gt;-10,Energy_label!$H$12&lt;30),1,340/Energy_label!$Q$17))/10)+10^(H$65/10))+H$5</f>
        <v>#NUM!</v>
      </c>
      <c r="I68" s="40" t="e">
        <f>10*LOG(10^((I$63-I$5-datablad!K4*IF(AND(Energy_label!$H$12&gt;-10,Energy_label!$H$12&lt;30),1,340/Energy_label!$Q$17))/10)+10^(I$65/10))+I$5</f>
        <v>#NUM!</v>
      </c>
      <c r="J68" s="40" t="e">
        <f>10*LOG(10^((J$63-J$5-datablad!L4*IF(AND(Energy_label!$H$12&gt;-10,Energy_label!$H$12&lt;30),1,340/Energy_label!$Q$17))/10)+10^(J$65/10))+J$5</f>
        <v>#NUM!</v>
      </c>
      <c r="K68" s="40" t="e">
        <f>10*LOG(10^((K$63-K$5-datablad!M4*IF(AND(Energy_label!$H$12&gt;-10,Energy_label!$H$12&lt;30),1,340/Energy_label!$Q$17))/10)+10^(K$65/10))+K$5</f>
        <v>#NUM!</v>
      </c>
      <c r="L68" s="40" t="e">
        <f>10*LOG(10^((L$63-L$5-datablad!N4*IF(AND(Energy_label!$H$12&gt;-10,Energy_label!$H$12&lt;30),1,340/Energy_label!$Q$17))/10)+10^(L$65/10))+L$5</f>
        <v>#NUM!</v>
      </c>
      <c r="M68" s="42" t="e">
        <f t="shared" si="11"/>
        <v>#NUM!</v>
      </c>
      <c r="N68" s="31" t="e">
        <f>IF(M68&lt;Energy_label!N$8,1,0)</f>
        <v>#NUM!</v>
      </c>
      <c r="O68" s="56" t="e">
        <f>0.5*Energy_label!$N$17*Energy_label!$G$17^2*O$25</f>
        <v>#NUM!</v>
      </c>
      <c r="P68" s="56" t="e">
        <f>0.5*Energy_label!$N$17*Energy_label!$G$17^2*P$5*B68/1000</f>
        <v>#NUM!</v>
      </c>
      <c r="Q68" s="56" t="e">
        <f>0.5*Energy_label!$N$17*Energy_label!$G$17^2*Q$25</f>
        <v>#NUM!</v>
      </c>
      <c r="R68" s="58" t="e">
        <f t="shared" ref="R68:R83" si="12">R$22+O68+P68+Q68+O$63+P$63+Q$63</f>
        <v>#NUM!</v>
      </c>
    </row>
    <row r="69" spans="1:22" x14ac:dyDescent="0.15">
      <c r="B69">
        <v>1000</v>
      </c>
      <c r="C69" s="40" t="e">
        <f>10*LOG(10^((C$63-C$5-datablad!E5*IF(AND(Energy_label!$H$12&gt;-10,Energy_label!$H$12&lt;30),1,340/Energy_label!$Q$17))/10)+10^(C$65/10))+C$5</f>
        <v>#NUM!</v>
      </c>
      <c r="D69" s="40" t="e">
        <f>10*LOG(10^((D$63-D$5-datablad!F5*IF(AND(Energy_label!$H$12&gt;-10,Energy_label!$H$12&lt;30),1,340/Energy_label!$Q$17))/10)+10^(D$65/10))+D$5</f>
        <v>#NUM!</v>
      </c>
      <c r="E69" s="40" t="e">
        <f>10*LOG(10^((E$63-E$5-datablad!G5*IF(AND(Energy_label!$H$12&gt;-10,Energy_label!$H$12&lt;30),1,340/Energy_label!$Q$17))/10)+10^(E$65/10))+E$5</f>
        <v>#NUM!</v>
      </c>
      <c r="F69" s="40" t="e">
        <f>10*LOG(10^((F$63-F$5-datablad!H5*IF(AND(Energy_label!$H$12&gt;-10,Energy_label!$H$12&lt;30),1,340/Energy_label!$Q$17))/10)+10^(F$65/10))+F$5</f>
        <v>#NUM!</v>
      </c>
      <c r="G69" s="40" t="e">
        <f>10*LOG(10^((G$63-G$5-datablad!I5*IF(AND(Energy_label!$H$12&gt;-10,Energy_label!$H$12&lt;30),1,340/Energy_label!$Q$17))/10)+10^(G$65/10))+G$5</f>
        <v>#NUM!</v>
      </c>
      <c r="H69" s="40" t="e">
        <f>10*LOG(10^((H$63-H$5-datablad!J5*IF(AND(Energy_label!$H$12&gt;-10,Energy_label!$H$12&lt;30),1,340/Energy_label!$Q$17))/10)+10^(H$65/10))+H$5</f>
        <v>#NUM!</v>
      </c>
      <c r="I69" s="40" t="e">
        <f>10*LOG(10^((I$63-I$5-datablad!K5*IF(AND(Energy_label!$H$12&gt;-10,Energy_label!$H$12&lt;30),1,340/Energy_label!$Q$17))/10)+10^(I$65/10))+I$5</f>
        <v>#NUM!</v>
      </c>
      <c r="J69" s="40" t="e">
        <f>10*LOG(10^((J$63-J$5-datablad!L5*IF(AND(Energy_label!$H$12&gt;-10,Energy_label!$H$12&lt;30),1,340/Energy_label!$Q$17))/10)+10^(J$65/10))+J$5</f>
        <v>#NUM!</v>
      </c>
      <c r="K69" s="40" t="e">
        <f>10*LOG(10^((K$63-K$5-datablad!M5*IF(AND(Energy_label!$H$12&gt;-10,Energy_label!$H$12&lt;30),1,340/Energy_label!$Q$17))/10)+10^(K$65/10))+K$5</f>
        <v>#NUM!</v>
      </c>
      <c r="L69" s="40" t="e">
        <f>10*LOG(10^((L$63-L$5-datablad!N5*IF(AND(Energy_label!$H$12&gt;-10,Energy_label!$H$12&lt;30),1,340/Energy_label!$Q$17))/10)+10^(L$65/10))+L$5</f>
        <v>#NUM!</v>
      </c>
      <c r="M69" s="42" t="e">
        <f t="shared" si="11"/>
        <v>#NUM!</v>
      </c>
      <c r="N69" s="31" t="e">
        <f>IF(M69&lt;Energy_label!N$8,1,0)</f>
        <v>#NUM!</v>
      </c>
      <c r="O69" s="56" t="e">
        <f>0.5*Energy_label!$N$17*Energy_label!$G$17^2*O$25</f>
        <v>#NUM!</v>
      </c>
      <c r="P69" s="56" t="e">
        <f>0.5*Energy_label!$N$17*Energy_label!$G$17^2*P$5*B69/1000</f>
        <v>#NUM!</v>
      </c>
      <c r="Q69" s="56" t="e">
        <f>0.5*Energy_label!$N$17*Energy_label!$G$17^2*Q$25</f>
        <v>#NUM!</v>
      </c>
      <c r="R69" s="58" t="e">
        <f t="shared" si="12"/>
        <v>#NUM!</v>
      </c>
    </row>
    <row r="70" spans="1:22" x14ac:dyDescent="0.15">
      <c r="B70">
        <v>1250</v>
      </c>
      <c r="C70" s="40" t="e">
        <f>10*LOG(10^((C$63-C$5-datablad!E6*IF(AND(Energy_label!$H$12&gt;-10,Energy_label!$H$12&lt;30),1,340/Energy_label!$Q$17))/10)+10^(C$65/10))+C$5</f>
        <v>#NUM!</v>
      </c>
      <c r="D70" s="40" t="e">
        <f>10*LOG(10^((D$63-D$5-datablad!F6*IF(AND(Energy_label!$H$12&gt;-10,Energy_label!$H$12&lt;30),1,340/Energy_label!$Q$17))/10)+10^(D$65/10))+D$5</f>
        <v>#NUM!</v>
      </c>
      <c r="E70" s="40" t="e">
        <f>10*LOG(10^((E$63-E$5-datablad!G6*IF(AND(Energy_label!$H$12&gt;-10,Energy_label!$H$12&lt;30),1,340/Energy_label!$Q$17))/10)+10^(E$65/10))+E$5</f>
        <v>#NUM!</v>
      </c>
      <c r="F70" s="40" t="e">
        <f>10*LOG(10^((F$63-F$5-datablad!H6*IF(AND(Energy_label!$H$12&gt;-10,Energy_label!$H$12&lt;30),1,340/Energy_label!$Q$17))/10)+10^(F$65/10))+F$5</f>
        <v>#NUM!</v>
      </c>
      <c r="G70" s="40" t="e">
        <f>10*LOG(10^((G$63-G$5-datablad!I6*IF(AND(Energy_label!$H$12&gt;-10,Energy_label!$H$12&lt;30),1,340/Energy_label!$Q$17))/10)+10^(G$65/10))+G$5</f>
        <v>#NUM!</v>
      </c>
      <c r="H70" s="40" t="e">
        <f>10*LOG(10^((H$63-H$5-datablad!J6*IF(AND(Energy_label!$H$12&gt;-10,Energy_label!$H$12&lt;30),1,340/Energy_label!$Q$17))/10)+10^(H$65/10))+H$5</f>
        <v>#NUM!</v>
      </c>
      <c r="I70" s="40" t="e">
        <f>10*LOG(10^((I$63-I$5-datablad!K6*IF(AND(Energy_label!$H$12&gt;-10,Energy_label!$H$12&lt;30),1,340/Energy_label!$Q$17))/10)+10^(I$65/10))+I$5</f>
        <v>#NUM!</v>
      </c>
      <c r="J70" s="40" t="e">
        <f>10*LOG(10^((J$63-J$5-datablad!L6*IF(AND(Energy_label!$H$12&gt;-10,Energy_label!$H$12&lt;30),1,340/Energy_label!$Q$17))/10)+10^(J$65/10))+J$5</f>
        <v>#NUM!</v>
      </c>
      <c r="K70" s="40" t="e">
        <f>10*LOG(10^((K$63-K$5-datablad!M6*IF(AND(Energy_label!$H$12&gt;-10,Energy_label!$H$12&lt;30),1,340/Energy_label!$Q$17))/10)+10^(K$65/10))+K$5</f>
        <v>#NUM!</v>
      </c>
      <c r="L70" s="40" t="e">
        <f>10*LOG(10^((L$63-L$5-datablad!N6*IF(AND(Energy_label!$H$12&gt;-10,Energy_label!$H$12&lt;30),1,340/Energy_label!$Q$17))/10)+10^(L$65/10))+L$5</f>
        <v>#NUM!</v>
      </c>
      <c r="M70" s="42" t="e">
        <f>10*LOG(10^(C70/10)+10^(D70/10)+10^(E70/10)+10^(F70/10)+10^(G70/10)+10^(H70/10)+10^(I70/10)+10^(J70/10)+10^(K70/10)+10^(L70/10))</f>
        <v>#NUM!</v>
      </c>
      <c r="N70" s="31" t="e">
        <f>IF(M70&lt;Energy_label!N$8,1,0)</f>
        <v>#NUM!</v>
      </c>
      <c r="O70" s="56" t="e">
        <f>0.5*Energy_label!$N$17*Energy_label!$G$17^2*O$25</f>
        <v>#NUM!</v>
      </c>
      <c r="P70" s="56" t="e">
        <f>0.5*Energy_label!$N$17*Energy_label!$G$17^2*P$5*B70/1000</f>
        <v>#NUM!</v>
      </c>
      <c r="Q70" s="56" t="e">
        <f>0.5*Energy_label!$N$17*Energy_label!$G$17^2*Q$25</f>
        <v>#NUM!</v>
      </c>
      <c r="R70" s="58" t="e">
        <f t="shared" si="12"/>
        <v>#NUM!</v>
      </c>
    </row>
    <row r="71" spans="1:22" x14ac:dyDescent="0.15">
      <c r="B71">
        <v>1500</v>
      </c>
      <c r="C71" s="40" t="e">
        <f>10*LOG(10^((C$63-C$5-datablad!E7*IF(AND(Energy_label!$H$12&gt;-10,Energy_label!$H$12&lt;30),1,340/Energy_label!$Q$17))/10)+10^(C$65/10))+C$5</f>
        <v>#NUM!</v>
      </c>
      <c r="D71" s="40" t="e">
        <f>10*LOG(10^((D$63-D$5-datablad!F7*IF(AND(Energy_label!$H$12&gt;-10,Energy_label!$H$12&lt;30),1,340/Energy_label!$Q$17))/10)+10^(D$65/10))+D$5</f>
        <v>#NUM!</v>
      </c>
      <c r="E71" s="40" t="e">
        <f>10*LOG(10^((E$63-E$5-datablad!G7*IF(AND(Energy_label!$H$12&gt;-10,Energy_label!$H$12&lt;30),1,340/Energy_label!$Q$17))/10)+10^(E$65/10))+E$5</f>
        <v>#NUM!</v>
      </c>
      <c r="F71" s="40" t="e">
        <f>10*LOG(10^((F$63-F$5-datablad!H7*IF(AND(Energy_label!$H$12&gt;-10,Energy_label!$H$12&lt;30),1,340/Energy_label!$Q$17))/10)+10^(F$65/10))+F$5</f>
        <v>#NUM!</v>
      </c>
      <c r="G71" s="40" t="e">
        <f>10*LOG(10^((G$63-G$5-datablad!I7*IF(AND(Energy_label!$H$12&gt;-10,Energy_label!$H$12&lt;30),1,340/Energy_label!$Q$17))/10)+10^(G$65/10))+G$5</f>
        <v>#NUM!</v>
      </c>
      <c r="H71" s="40" t="e">
        <f>10*LOG(10^((H$63-H$5-datablad!J7*IF(AND(Energy_label!$H$12&gt;-10,Energy_label!$H$12&lt;30),1,340/Energy_label!$Q$17))/10)+10^(H$65/10))+H$5</f>
        <v>#NUM!</v>
      </c>
      <c r="I71" s="40" t="e">
        <f>10*LOG(10^((I$63-I$5-datablad!K7*IF(AND(Energy_label!$H$12&gt;-10,Energy_label!$H$12&lt;30),1,340/Energy_label!$Q$17))/10)+10^(I$65/10))+I$5</f>
        <v>#NUM!</v>
      </c>
      <c r="J71" s="40" t="e">
        <f>10*LOG(10^((J$63-J$5-datablad!L7*IF(AND(Energy_label!$H$12&gt;-10,Energy_label!$H$12&lt;30),1,340/Energy_label!$Q$17))/10)+10^(J$65/10))+J$5</f>
        <v>#NUM!</v>
      </c>
      <c r="K71" s="40" t="e">
        <f>10*LOG(10^((K$63-K$5-datablad!M7*IF(AND(Energy_label!$H$12&gt;-10,Energy_label!$H$12&lt;30),1,340/Energy_label!$Q$17))/10)+10^(K$65/10))+K$5</f>
        <v>#NUM!</v>
      </c>
      <c r="L71" s="40" t="e">
        <f>10*LOG(10^((L$63-L$5-datablad!N7*IF(AND(Energy_label!$H$12&gt;-10,Energy_label!$H$12&lt;30),1,340/Energy_label!$Q$17))/10)+10^(L$65/10))+L$5</f>
        <v>#NUM!</v>
      </c>
      <c r="M71" s="42" t="e">
        <f t="shared" si="11"/>
        <v>#NUM!</v>
      </c>
      <c r="N71" s="31" t="e">
        <f>IF(M71&lt;Energy_label!N$8,1,0)</f>
        <v>#NUM!</v>
      </c>
      <c r="O71" s="56" t="e">
        <f>0.5*Energy_label!$N$17*Energy_label!$G$17^2*O$25</f>
        <v>#NUM!</v>
      </c>
      <c r="P71" s="56" t="e">
        <f>0.5*Energy_label!$N$17*Energy_label!$G$17^2*P$5*B71/1000</f>
        <v>#NUM!</v>
      </c>
      <c r="Q71" s="56" t="e">
        <f>0.5*Energy_label!$N$17*Energy_label!$G$17^2*Q$25</f>
        <v>#NUM!</v>
      </c>
      <c r="R71" s="58" t="e">
        <f t="shared" si="12"/>
        <v>#NUM!</v>
      </c>
      <c r="V71" t="e">
        <f>Energy_label!G38*Energy_label!I38/V72</f>
        <v>#NUM!</v>
      </c>
    </row>
    <row r="72" spans="1:22" x14ac:dyDescent="0.15">
      <c r="B72">
        <v>1750</v>
      </c>
      <c r="C72" s="40" t="e">
        <f>10*LOG(10^((C$63-C$5-datablad!E8*IF(AND(Energy_label!$H$12&gt;-10,Energy_label!$H$12&lt;30),1,340/Energy_label!$Q$17))/10)+10^(C$65/10))+C$5</f>
        <v>#NUM!</v>
      </c>
      <c r="D72" s="40" t="e">
        <f>10*LOG(10^((D$63-D$5-datablad!F8*IF(AND(Energy_label!$H$12&gt;-10,Energy_label!$H$12&lt;30),1,340/Energy_label!$Q$17))/10)+10^(D$65/10))+D$5</f>
        <v>#NUM!</v>
      </c>
      <c r="E72" s="40" t="e">
        <f>10*LOG(10^((E$63-E$5-datablad!G8*IF(AND(Energy_label!$H$12&gt;-10,Energy_label!$H$12&lt;30),1,340/Energy_label!$Q$17))/10)+10^(E$65/10))+E$5</f>
        <v>#NUM!</v>
      </c>
      <c r="F72" s="40" t="e">
        <f>10*LOG(10^((F$63-F$5-datablad!H8*IF(AND(Energy_label!$H$12&gt;-10,Energy_label!$H$12&lt;30),1,340/Energy_label!$Q$17))/10)+10^(F$65/10))+F$5</f>
        <v>#NUM!</v>
      </c>
      <c r="G72" s="40" t="e">
        <f>10*LOG(10^((G$63-G$5-datablad!I8*IF(AND(Energy_label!$H$12&gt;-10,Energy_label!$H$12&lt;30),1,340/Energy_label!$Q$17))/10)+10^(G$65/10))+G$5</f>
        <v>#NUM!</v>
      </c>
      <c r="H72" s="40" t="e">
        <f>10*LOG(10^((H$63-H$5-datablad!J8*IF(AND(Energy_label!$H$12&gt;-10,Energy_label!$H$12&lt;30),1,340/Energy_label!$Q$17))/10)+10^(H$65/10))+H$5</f>
        <v>#NUM!</v>
      </c>
      <c r="I72" s="40" t="e">
        <f>10*LOG(10^((I$63-I$5-datablad!K8*IF(AND(Energy_label!$H$12&gt;-10,Energy_label!$H$12&lt;30),1,340/Energy_label!$Q$17))/10)+10^(I$65/10))+I$5</f>
        <v>#NUM!</v>
      </c>
      <c r="J72" s="40" t="e">
        <f>10*LOG(10^((J$63-J$5-datablad!L8*IF(AND(Energy_label!$H$12&gt;-10,Energy_label!$H$12&lt;30),1,340/Energy_label!$Q$17))/10)+10^(J$65/10))+J$5</f>
        <v>#NUM!</v>
      </c>
      <c r="K72" s="40" t="e">
        <f>10*LOG(10^((K$63-K$5-datablad!M8*IF(AND(Energy_label!$H$12&gt;-10,Energy_label!$H$12&lt;30),1,340/Energy_label!$Q$17))/10)+10^(K$65/10))+K$5</f>
        <v>#NUM!</v>
      </c>
      <c r="L72" s="40" t="e">
        <f>10*LOG(10^((L$63-L$5-datablad!N8*IF(AND(Energy_label!$H$12&gt;-10,Energy_label!$H$12&lt;30),1,340/Energy_label!$Q$17))/10)+10^(L$65/10))+L$5</f>
        <v>#NUM!</v>
      </c>
      <c r="M72" s="42" t="e">
        <f t="shared" si="11"/>
        <v>#NUM!</v>
      </c>
      <c r="N72" s="31" t="e">
        <f>IF(M72&lt;Energy_label!N$8,1,0)</f>
        <v>#NUM!</v>
      </c>
      <c r="O72" s="56" t="e">
        <f>0.5*Energy_label!$N$17*Energy_label!$G$17^2*O$25</f>
        <v>#NUM!</v>
      </c>
      <c r="P72" s="56" t="e">
        <f>0.5*Energy_label!$N$17*Energy_label!$G$17^2*P$5*B72/1000</f>
        <v>#NUM!</v>
      </c>
      <c r="Q72" s="56" t="e">
        <f>0.5*Energy_label!$N$17*Energy_label!$G$17^2*Q$25</f>
        <v>#NUM!</v>
      </c>
      <c r="R72" s="58" t="e">
        <f t="shared" si="12"/>
        <v>#NUM!</v>
      </c>
      <c r="V72" t="e">
        <f>INDEX(V73:V75,N3,1)</f>
        <v>#NUM!</v>
      </c>
    </row>
    <row r="73" spans="1:22" x14ac:dyDescent="0.15">
      <c r="B73">
        <v>2000</v>
      </c>
      <c r="C73" s="40" t="e">
        <f>10*LOG(10^((C$63-C$5-datablad!E9*IF(AND(Energy_label!$H$12&gt;-10,Energy_label!$H$12&lt;30),1,340/Energy_label!$Q$17))/10)+10^(C$65/10))+C$5</f>
        <v>#NUM!</v>
      </c>
      <c r="D73" s="40" t="e">
        <f>10*LOG(10^((D$63-D$5-datablad!F9*IF(AND(Energy_label!$H$12&gt;-10,Energy_label!$H$12&lt;30),1,340/Energy_label!$Q$17))/10)+10^(D$65/10))+D$5</f>
        <v>#NUM!</v>
      </c>
      <c r="E73" s="40" t="e">
        <f>10*LOG(10^((E$63-E$5-datablad!G9*IF(AND(Energy_label!$H$12&gt;-10,Energy_label!$H$12&lt;30),1,340/Energy_label!$Q$17))/10)+10^(E$65/10))+E$5</f>
        <v>#NUM!</v>
      </c>
      <c r="F73" s="40" t="e">
        <f>10*LOG(10^((F$63-F$5-datablad!H9*IF(AND(Energy_label!$H$12&gt;-10,Energy_label!$H$12&lt;30),1,340/Energy_label!$Q$17))/10)+10^(F$65/10))+F$5</f>
        <v>#NUM!</v>
      </c>
      <c r="G73" s="40" t="e">
        <f>10*LOG(10^((G$63-G$5-datablad!I9*IF(AND(Energy_label!$H$12&gt;-10,Energy_label!$H$12&lt;30),1,340/Energy_label!$Q$17))/10)+10^(G$65/10))+G$5</f>
        <v>#NUM!</v>
      </c>
      <c r="H73" s="40" t="e">
        <f>10*LOG(10^((H$63-H$5-datablad!J9*IF(AND(Energy_label!$H$12&gt;-10,Energy_label!$H$12&lt;30),1,340/Energy_label!$Q$17))/10)+10^(H$65/10))+H$5</f>
        <v>#NUM!</v>
      </c>
      <c r="I73" s="40" t="e">
        <f>10*LOG(10^((I$63-I$5-datablad!K9*IF(AND(Energy_label!$H$12&gt;-10,Energy_label!$H$12&lt;30),1,340/Energy_label!$Q$17))/10)+10^(I$65/10))+I$5</f>
        <v>#NUM!</v>
      </c>
      <c r="J73" s="40" t="e">
        <f>10*LOG(10^((J$63-J$5-datablad!L9*IF(AND(Energy_label!$H$12&gt;-10,Energy_label!$H$12&lt;30),1,340/Energy_label!$Q$17))/10)+10^(J$65/10))+J$5</f>
        <v>#NUM!</v>
      </c>
      <c r="K73" s="40" t="e">
        <f>10*LOG(10^((K$63-K$5-datablad!M9*IF(AND(Energy_label!$H$12&gt;-10,Energy_label!$H$12&lt;30),1,340/Energy_label!$Q$17))/10)+10^(K$65/10))+K$5</f>
        <v>#NUM!</v>
      </c>
      <c r="L73" s="40" t="e">
        <f>10*LOG(10^((L$63-L$5-datablad!N9*IF(AND(Energy_label!$H$12&gt;-10,Energy_label!$H$12&lt;30),1,340/Energy_label!$Q$17))/10)+10^(L$65/10))+L$5</f>
        <v>#NUM!</v>
      </c>
      <c r="M73" s="42" t="e">
        <f t="shared" si="11"/>
        <v>#NUM!</v>
      </c>
      <c r="N73" s="31" t="e">
        <f>IF(M73&lt;Energy_label!N$8,1,0)</f>
        <v>#NUM!</v>
      </c>
      <c r="O73" s="56" t="e">
        <f>0.5*Energy_label!$N$17*Energy_label!$G$17^2*O$25</f>
        <v>#NUM!</v>
      </c>
      <c r="P73" s="56" t="e">
        <f>0.5*Energy_label!$N$17*Energy_label!$G$17^2*P$5*B73/1000</f>
        <v>#NUM!</v>
      </c>
      <c r="Q73" s="56" t="e">
        <f>0.5*Energy_label!$N$17*Energy_label!$G$17^2*Q$25</f>
        <v>#NUM!</v>
      </c>
      <c r="R73" s="58" t="e">
        <f t="shared" si="12"/>
        <v>#NUM!</v>
      </c>
      <c r="U73" t="s">
        <v>13</v>
      </c>
      <c r="V73" s="64" t="e">
        <f>Energy_label!G$17+2*(V46-Energy_label!G$17)/3</f>
        <v>#NUM!</v>
      </c>
    </row>
    <row r="74" spans="1:22" x14ac:dyDescent="0.15">
      <c r="B74">
        <v>2250</v>
      </c>
      <c r="C74" s="40" t="e">
        <f>10*LOG(10^((C$63-C$5-datablad!E10*IF(AND(Energy_label!$H$12&gt;-10,Energy_label!$H$12&lt;30),1,340/Energy_label!$Q$17))/10)+10^(C$65/10))+C$5</f>
        <v>#NUM!</v>
      </c>
      <c r="D74" s="40" t="e">
        <f>10*LOG(10^((D$63-D$5-datablad!F10*IF(AND(Energy_label!$H$12&gt;-10,Energy_label!$H$12&lt;30),1,340/Energy_label!$Q$17))/10)+10^(D$65/10))+D$5</f>
        <v>#NUM!</v>
      </c>
      <c r="E74" s="40" t="e">
        <f>10*LOG(10^((E$63-E$5-datablad!G10*IF(AND(Energy_label!$H$12&gt;-10,Energy_label!$H$12&lt;30),1,340/Energy_label!$Q$17))/10)+10^(E$65/10))+E$5</f>
        <v>#NUM!</v>
      </c>
      <c r="F74" s="40" t="e">
        <f>10*LOG(10^((F$63-F$5-datablad!H10*IF(AND(Energy_label!$H$12&gt;-10,Energy_label!$H$12&lt;30),1,340/Energy_label!$Q$17))/10)+10^(F$65/10))+F$5</f>
        <v>#NUM!</v>
      </c>
      <c r="G74" s="40" t="e">
        <f>10*LOG(10^((G$63-G$5-datablad!I10*IF(AND(Energy_label!$H$12&gt;-10,Energy_label!$H$12&lt;30),1,340/Energy_label!$Q$17))/10)+10^(G$65/10))+G$5</f>
        <v>#NUM!</v>
      </c>
      <c r="H74" s="40" t="e">
        <f>10*LOG(10^((H$63-H$5-datablad!J10*IF(AND(Energy_label!$H$12&gt;-10,Energy_label!$H$12&lt;30),1,340/Energy_label!$Q$17))/10)+10^(H$65/10))+H$5</f>
        <v>#NUM!</v>
      </c>
      <c r="I74" s="40" t="e">
        <f>10*LOG(10^((I$63-I$5-datablad!K10*IF(AND(Energy_label!$H$12&gt;-10,Energy_label!$H$12&lt;30),1,340/Energy_label!$Q$17))/10)+10^(I$65/10))+I$5</f>
        <v>#NUM!</v>
      </c>
      <c r="J74" s="40" t="e">
        <f>10*LOG(10^((J$63-J$5-datablad!L10*IF(AND(Energy_label!$H$12&gt;-10,Energy_label!$H$12&lt;30),1,340/Energy_label!$Q$17))/10)+10^(J$65/10))+J$5</f>
        <v>#NUM!</v>
      </c>
      <c r="K74" s="40" t="e">
        <f>10*LOG(10^((K$63-K$5-datablad!M10*IF(AND(Energy_label!$H$12&gt;-10,Energy_label!$H$12&lt;30),1,340/Energy_label!$Q$17))/10)+10^(K$65/10))+K$5</f>
        <v>#NUM!</v>
      </c>
      <c r="L74" s="40" t="e">
        <f>10*LOG(10^((L$63-L$5-datablad!N10*IF(AND(Energy_label!$H$12&gt;-10,Energy_label!$H$12&lt;30),1,340/Energy_label!$Q$17))/10)+10^(L$65/10))+L$5</f>
        <v>#NUM!</v>
      </c>
      <c r="M74" s="42" t="e">
        <f t="shared" si="11"/>
        <v>#NUM!</v>
      </c>
      <c r="N74" s="31" t="e">
        <f>IF(M74&lt;Energy_label!N$8,1,0)</f>
        <v>#NUM!</v>
      </c>
      <c r="O74" s="56" t="e">
        <f>0.5*Energy_label!$N$17*Energy_label!$G$17^2*O$25</f>
        <v>#NUM!</v>
      </c>
      <c r="P74" s="56" t="e">
        <f>0.5*Energy_label!$N$17*Energy_label!$G$17^2*P$5*B74/1000</f>
        <v>#NUM!</v>
      </c>
      <c r="Q74" s="56" t="e">
        <f>0.5*Energy_label!$N$17*Energy_label!$G$17^2*Q$25</f>
        <v>#NUM!</v>
      </c>
      <c r="R74" s="58" t="e">
        <f t="shared" si="12"/>
        <v>#NUM!</v>
      </c>
      <c r="U74" t="s">
        <v>14</v>
      </c>
      <c r="V74" s="64" t="e">
        <f>Energy_label!G$17+2*(V47-Energy_label!G$17)/3</f>
        <v>#NUM!</v>
      </c>
    </row>
    <row r="75" spans="1:22" x14ac:dyDescent="0.15">
      <c r="B75">
        <v>2500</v>
      </c>
      <c r="C75" s="40" t="e">
        <f>10*LOG(10^((C$63-C$5-datablad!E11*IF(AND(Energy_label!$H$12&gt;-10,Energy_label!$H$12&lt;30),1,340/Energy_label!$Q$17))/10)+10^(C$65/10))+C$5</f>
        <v>#NUM!</v>
      </c>
      <c r="D75" s="40" t="e">
        <f>10*LOG(10^((D$63-D$5-datablad!F11*IF(AND(Energy_label!$H$12&gt;-10,Energy_label!$H$12&lt;30),1,340/Energy_label!$Q$17))/10)+10^(D$65/10))+D$5</f>
        <v>#NUM!</v>
      </c>
      <c r="E75" s="40" t="e">
        <f>10*LOG(10^((E$63-E$5-datablad!G11*IF(AND(Energy_label!$H$12&gt;-10,Energy_label!$H$12&lt;30),1,340/Energy_label!$Q$17))/10)+10^(E$65/10))+E$5</f>
        <v>#NUM!</v>
      </c>
      <c r="F75" s="40" t="e">
        <f>10*LOG(10^((F$63-F$5-datablad!H11*IF(AND(Energy_label!$H$12&gt;-10,Energy_label!$H$12&lt;30),1,340/Energy_label!$Q$17))/10)+10^(F$65/10))+F$5</f>
        <v>#NUM!</v>
      </c>
      <c r="G75" s="40" t="e">
        <f>10*LOG(10^((G$63-G$5-datablad!I11*IF(AND(Energy_label!$H$12&gt;-10,Energy_label!$H$12&lt;30),1,340/Energy_label!$Q$17))/10)+10^(G$65/10))+G$5</f>
        <v>#NUM!</v>
      </c>
      <c r="H75" s="40" t="e">
        <f>10*LOG(10^((H$63-H$5-datablad!J11*IF(AND(Energy_label!$H$12&gt;-10,Energy_label!$H$12&lt;30),1,340/Energy_label!$Q$17))/10)+10^(H$65/10))+H$5</f>
        <v>#NUM!</v>
      </c>
      <c r="I75" s="40" t="e">
        <f>10*LOG(10^((I$63-I$5-datablad!K11*IF(AND(Energy_label!$H$12&gt;-10,Energy_label!$H$12&lt;30),1,340/Energy_label!$Q$17))/10)+10^(I$65/10))+I$5</f>
        <v>#NUM!</v>
      </c>
      <c r="J75" s="40" t="e">
        <f>10*LOG(10^((J$63-J$5-datablad!L11*IF(AND(Energy_label!$H$12&gt;-10,Energy_label!$H$12&lt;30),1,340/Energy_label!$Q$17))/10)+10^(J$65/10))+J$5</f>
        <v>#NUM!</v>
      </c>
      <c r="K75" s="40" t="e">
        <f>10*LOG(10^((K$63-K$5-datablad!M11*IF(AND(Energy_label!$H$12&gt;-10,Energy_label!$H$12&lt;30),1,340/Energy_label!$Q$17))/10)+10^(K$65/10))+K$5</f>
        <v>#NUM!</v>
      </c>
      <c r="L75" s="40" t="e">
        <f>10*LOG(10^((L$63-L$5-datablad!N11*IF(AND(Energy_label!$H$12&gt;-10,Energy_label!$H$12&lt;30),1,340/Energy_label!$Q$17))/10)+10^(L$65/10))+L$5</f>
        <v>#NUM!</v>
      </c>
      <c r="M75" s="42" t="e">
        <f t="shared" si="11"/>
        <v>#NUM!</v>
      </c>
      <c r="N75" s="31" t="e">
        <f>IF(M75&lt;Energy_label!N$8,1,0)</f>
        <v>#NUM!</v>
      </c>
      <c r="O75" s="56" t="e">
        <f>0.5*Energy_label!$N$17*Energy_label!$G$17^2*O$25</f>
        <v>#NUM!</v>
      </c>
      <c r="P75" s="56" t="e">
        <f>0.5*Energy_label!$N$17*Energy_label!$G$17^2*P$5*B75/1000</f>
        <v>#NUM!</v>
      </c>
      <c r="Q75" s="56" t="e">
        <f>0.5*Energy_label!$N$17*Energy_label!$G$17^2*Q$25</f>
        <v>#NUM!</v>
      </c>
      <c r="R75" s="58" t="e">
        <f t="shared" si="12"/>
        <v>#NUM!</v>
      </c>
      <c r="U75" t="s">
        <v>15</v>
      </c>
      <c r="V75" s="64" t="e">
        <f>Energy_label!G$17+2*(V48-Energy_label!G$17)/3</f>
        <v>#NUM!</v>
      </c>
    </row>
    <row r="76" spans="1:22" x14ac:dyDescent="0.15">
      <c r="B76">
        <v>2750</v>
      </c>
      <c r="C76" s="40" t="e">
        <f>10*LOG(10^((C$63-C$5-datablad!E12*IF(AND(Energy_label!$H$12&gt;-10,Energy_label!$H$12&lt;30),1,340/Energy_label!$Q$17))/10)+10^(C$65/10))+C$5</f>
        <v>#NUM!</v>
      </c>
      <c r="D76" s="40" t="e">
        <f>10*LOG(10^((D$63-D$5-datablad!F12*IF(AND(Energy_label!$H$12&gt;-10,Energy_label!$H$12&lt;30),1,340/Energy_label!$Q$17))/10)+10^(D$65/10))+D$5</f>
        <v>#NUM!</v>
      </c>
      <c r="E76" s="40" t="e">
        <f>10*LOG(10^((E$63-E$5-datablad!G12*IF(AND(Energy_label!$H$12&gt;-10,Energy_label!$H$12&lt;30),1,340/Energy_label!$Q$17))/10)+10^(E$65/10))+E$5</f>
        <v>#NUM!</v>
      </c>
      <c r="F76" s="40" t="e">
        <f>10*LOG(10^((F$63-F$5-datablad!H12*IF(AND(Energy_label!$H$12&gt;-10,Energy_label!$H$12&lt;30),1,340/Energy_label!$Q$17))/10)+10^(F$65/10))+F$5</f>
        <v>#NUM!</v>
      </c>
      <c r="G76" s="40" t="e">
        <f>10*LOG(10^((G$63-G$5-datablad!I12*IF(AND(Energy_label!$H$12&gt;-10,Energy_label!$H$12&lt;30),1,340/Energy_label!$Q$17))/10)+10^(G$65/10))+G$5</f>
        <v>#NUM!</v>
      </c>
      <c r="H76" s="40" t="e">
        <f>10*LOG(10^((H$63-H$5-datablad!J12*IF(AND(Energy_label!$H$12&gt;-10,Energy_label!$H$12&lt;30),1,340/Energy_label!$Q$17))/10)+10^(H$65/10))+H$5</f>
        <v>#NUM!</v>
      </c>
      <c r="I76" s="40" t="e">
        <f>10*LOG(10^((I$63-I$5-datablad!K12*IF(AND(Energy_label!$H$12&gt;-10,Energy_label!$H$12&lt;30),1,340/Energy_label!$Q$17))/10)+10^(I$65/10))+I$5</f>
        <v>#NUM!</v>
      </c>
      <c r="J76" s="40" t="e">
        <f>10*LOG(10^((J$63-J$5-datablad!L12*IF(AND(Energy_label!$H$12&gt;-10,Energy_label!$H$12&lt;30),1,340/Energy_label!$Q$17))/10)+10^(J$65/10))+J$5</f>
        <v>#NUM!</v>
      </c>
      <c r="K76" s="40" t="e">
        <f>10*LOG(10^((K$63-K$5-datablad!M12*IF(AND(Energy_label!$H$12&gt;-10,Energy_label!$H$12&lt;30),1,340/Energy_label!$Q$17))/10)+10^(K$65/10))+K$5</f>
        <v>#NUM!</v>
      </c>
      <c r="L76" s="40" t="e">
        <f>10*LOG(10^((L$63-L$5-datablad!N12*IF(AND(Energy_label!$H$12&gt;-10,Energy_label!$H$12&lt;30),1,340/Energy_label!$Q$17))/10)+10^(L$65/10))+L$5</f>
        <v>#NUM!</v>
      </c>
      <c r="M76" s="42" t="e">
        <f t="shared" si="11"/>
        <v>#NUM!</v>
      </c>
      <c r="N76" s="31" t="e">
        <f>IF(M76&lt;Energy_label!N$8,1,0)</f>
        <v>#NUM!</v>
      </c>
      <c r="O76" s="56" t="e">
        <f>0.5*Energy_label!$N$17*Energy_label!$G$17^2*O$25</f>
        <v>#NUM!</v>
      </c>
      <c r="P76" s="56" t="e">
        <f>0.5*Energy_label!$N$17*Energy_label!$G$17^2*P$5*B76/1000</f>
        <v>#NUM!</v>
      </c>
      <c r="Q76" s="56" t="e">
        <f>0.5*Energy_label!$N$17*Energy_label!$G$17^2*Q$25</f>
        <v>#NUM!</v>
      </c>
      <c r="R76" s="58" t="e">
        <f t="shared" si="12"/>
        <v>#NUM!</v>
      </c>
    </row>
    <row r="77" spans="1:22" x14ac:dyDescent="0.15">
      <c r="B77">
        <v>3000</v>
      </c>
      <c r="C77" s="40" t="e">
        <f>10*LOG(10^((C$63-C$5-datablad!E13*IF(AND(Energy_label!$H$12&gt;-10,Energy_label!$H$12&lt;30),1,340/Energy_label!$Q$17))/10)+10^(C$65/10))+C$5</f>
        <v>#NUM!</v>
      </c>
      <c r="D77" s="40" t="e">
        <f>10*LOG(10^((D$63-D$5-datablad!F13*IF(AND(Energy_label!$H$12&gt;-10,Energy_label!$H$12&lt;30),1,340/Energy_label!$Q$17))/10)+10^(D$65/10))+D$5</f>
        <v>#NUM!</v>
      </c>
      <c r="E77" s="40" t="e">
        <f>10*LOG(10^((E$63-E$5-datablad!G13*IF(AND(Energy_label!$H$12&gt;-10,Energy_label!$H$12&lt;30),1,340/Energy_label!$Q$17))/10)+10^(E$65/10))+E$5</f>
        <v>#NUM!</v>
      </c>
      <c r="F77" s="40" t="e">
        <f>10*LOG(10^((F$63-F$5-datablad!H13*IF(AND(Energy_label!$H$12&gt;-10,Energy_label!$H$12&lt;30),1,340/Energy_label!$Q$17))/10)+10^(F$65/10))+F$5</f>
        <v>#NUM!</v>
      </c>
      <c r="G77" s="40" t="e">
        <f>10*LOG(10^((G$63-G$5-datablad!I13*IF(AND(Energy_label!$H$12&gt;-10,Energy_label!$H$12&lt;30),1,340/Energy_label!$Q$17))/10)+10^(G$65/10))+G$5</f>
        <v>#NUM!</v>
      </c>
      <c r="H77" s="40" t="e">
        <f>10*LOG(10^((H$63-H$5-datablad!J13*IF(AND(Energy_label!$H$12&gt;-10,Energy_label!$H$12&lt;30),1,340/Energy_label!$Q$17))/10)+10^(H$65/10))+H$5</f>
        <v>#NUM!</v>
      </c>
      <c r="I77" s="40" t="e">
        <f>10*LOG(10^((I$63-I$5-datablad!K13*IF(AND(Energy_label!$H$12&gt;-10,Energy_label!$H$12&lt;30),1,340/Energy_label!$Q$17))/10)+10^(I$65/10))+I$5</f>
        <v>#NUM!</v>
      </c>
      <c r="J77" s="40" t="e">
        <f>10*LOG(10^((J$63-J$5-datablad!L13*IF(AND(Energy_label!$H$12&gt;-10,Energy_label!$H$12&lt;30),1,340/Energy_label!$Q$17))/10)+10^(J$65/10))+J$5</f>
        <v>#NUM!</v>
      </c>
      <c r="K77" s="40" t="e">
        <f>10*LOG(10^((K$63-K$5-datablad!M13*IF(AND(Energy_label!$H$12&gt;-10,Energy_label!$H$12&lt;30),1,340/Energy_label!$Q$17))/10)+10^(K$65/10))+K$5</f>
        <v>#NUM!</v>
      </c>
      <c r="L77" s="40" t="e">
        <f>10*LOG(10^((L$63-L$5-datablad!N13*IF(AND(Energy_label!$H$12&gt;-10,Energy_label!$H$12&lt;30),1,340/Energy_label!$Q$17))/10)+10^(L$65/10))+L$5</f>
        <v>#NUM!</v>
      </c>
      <c r="M77" s="42" t="e">
        <f t="shared" si="11"/>
        <v>#NUM!</v>
      </c>
      <c r="N77" s="31" t="e">
        <f>IF(M77&lt;Energy_label!N$8,1,0)</f>
        <v>#NUM!</v>
      </c>
      <c r="O77" s="56" t="e">
        <f>0.5*Energy_label!$N$17*Energy_label!$G$17^2*O$25</f>
        <v>#NUM!</v>
      </c>
      <c r="P77" s="56" t="e">
        <f>0.5*Energy_label!$N$17*Energy_label!$G$17^2*P$5*B77/1000</f>
        <v>#NUM!</v>
      </c>
      <c r="Q77" s="56" t="e">
        <f>0.5*Energy_label!$N$17*Energy_label!$G$17^2*Q$25</f>
        <v>#NUM!</v>
      </c>
      <c r="R77" s="58" t="e">
        <f t="shared" si="12"/>
        <v>#NUM!</v>
      </c>
    </row>
    <row r="78" spans="1:22" x14ac:dyDescent="0.15">
      <c r="B78">
        <v>3250</v>
      </c>
      <c r="C78" s="40" t="e">
        <f>10*LOG(10^((C$63-C$5-datablad!E14*IF(AND(Energy_label!$H$12&gt;-10,Energy_label!$H$12&lt;30),1,340/Energy_label!$Q$17))/10)+10^(C$65/10))+C$5</f>
        <v>#NUM!</v>
      </c>
      <c r="D78" s="40" t="e">
        <f>10*LOG(10^((D$63-D$5-datablad!F14*IF(AND(Energy_label!$H$12&gt;-10,Energy_label!$H$12&lt;30),1,340/Energy_label!$Q$17))/10)+10^(D$65/10))+D$5</f>
        <v>#NUM!</v>
      </c>
      <c r="E78" s="40" t="e">
        <f>10*LOG(10^((E$63-E$5-datablad!G14*IF(AND(Energy_label!$H$12&gt;-10,Energy_label!$H$12&lt;30),1,340/Energy_label!$Q$17))/10)+10^(E$65/10))+E$5</f>
        <v>#NUM!</v>
      </c>
      <c r="F78" s="40" t="e">
        <f>10*LOG(10^((F$63-F$5-datablad!H14*IF(AND(Energy_label!$H$12&gt;-10,Energy_label!$H$12&lt;30),1,340/Energy_label!$Q$17))/10)+10^(F$65/10))+F$5</f>
        <v>#NUM!</v>
      </c>
      <c r="G78" s="40" t="e">
        <f>10*LOG(10^((G$63-G$5-datablad!I14*IF(AND(Energy_label!$H$12&gt;-10,Energy_label!$H$12&lt;30),1,340/Energy_label!$Q$17))/10)+10^(G$65/10))+G$5</f>
        <v>#NUM!</v>
      </c>
      <c r="H78" s="40" t="e">
        <f>10*LOG(10^((H$63-H$5-datablad!J14*IF(AND(Energy_label!$H$12&gt;-10,Energy_label!$H$12&lt;30),1,340/Energy_label!$Q$17))/10)+10^(H$65/10))+H$5</f>
        <v>#NUM!</v>
      </c>
      <c r="I78" s="40" t="e">
        <f>10*LOG(10^((I$63-I$5-datablad!K14*IF(AND(Energy_label!$H$12&gt;-10,Energy_label!$H$12&lt;30),1,340/Energy_label!$Q$17))/10)+10^(I$65/10))+I$5</f>
        <v>#NUM!</v>
      </c>
      <c r="J78" s="40" t="e">
        <f>10*LOG(10^((J$63-J$5-datablad!L14*IF(AND(Energy_label!$H$12&gt;-10,Energy_label!$H$12&lt;30),1,340/Energy_label!$Q$17))/10)+10^(J$65/10))+J$5</f>
        <v>#NUM!</v>
      </c>
      <c r="K78" s="40" t="e">
        <f>10*LOG(10^((K$63-K$5-datablad!M14*IF(AND(Energy_label!$H$12&gt;-10,Energy_label!$H$12&lt;30),1,340/Energy_label!$Q$17))/10)+10^(K$65/10))+K$5</f>
        <v>#NUM!</v>
      </c>
      <c r="L78" s="40" t="e">
        <f>10*LOG(10^((L$63-L$5-datablad!N14*IF(AND(Energy_label!$H$12&gt;-10,Energy_label!$H$12&lt;30),1,340/Energy_label!$Q$17))/10)+10^(L$65/10))+L$5</f>
        <v>#NUM!</v>
      </c>
      <c r="M78" s="42" t="e">
        <f t="shared" si="11"/>
        <v>#NUM!</v>
      </c>
      <c r="N78" s="31" t="e">
        <f>IF(M78&lt;Energy_label!N$8,1,0)</f>
        <v>#NUM!</v>
      </c>
      <c r="O78" s="56" t="e">
        <f>0.5*Energy_label!$N$17*Energy_label!$G$17^2*O$25</f>
        <v>#NUM!</v>
      </c>
      <c r="P78" s="56" t="e">
        <f>0.5*Energy_label!$N$17*Energy_label!$G$17^2*P$5*B78/1000</f>
        <v>#NUM!</v>
      </c>
      <c r="Q78" s="56" t="e">
        <f>0.5*Energy_label!$N$17*Energy_label!$G$17^2*Q$25</f>
        <v>#NUM!</v>
      </c>
      <c r="R78" s="58" t="e">
        <f t="shared" si="12"/>
        <v>#NUM!</v>
      </c>
    </row>
    <row r="79" spans="1:22" x14ac:dyDescent="0.15">
      <c r="B79">
        <v>3500</v>
      </c>
      <c r="C79" s="40" t="e">
        <f>10*LOG(10^((C$63-C$5-datablad!E15*IF(AND(Energy_label!$H$12&gt;-10,Energy_label!$H$12&lt;30),1,340/Energy_label!$Q$17))/10)+10^(C$65/10))+C$5</f>
        <v>#NUM!</v>
      </c>
      <c r="D79" s="40" t="e">
        <f>10*LOG(10^((D$63-D$5-datablad!F15*IF(AND(Energy_label!$H$12&gt;-10,Energy_label!$H$12&lt;30),1,340/Energy_label!$Q$17))/10)+10^(D$65/10))+D$5</f>
        <v>#NUM!</v>
      </c>
      <c r="E79" s="40" t="e">
        <f>10*LOG(10^((E$63-E$5-datablad!G15*IF(AND(Energy_label!$H$12&gt;-10,Energy_label!$H$12&lt;30),1,340/Energy_label!$Q$17))/10)+10^(E$65/10))+E$5</f>
        <v>#NUM!</v>
      </c>
      <c r="F79" s="40" t="e">
        <f>10*LOG(10^((F$63-F$5-datablad!H15*IF(AND(Energy_label!$H$12&gt;-10,Energy_label!$H$12&lt;30),1,340/Energy_label!$Q$17))/10)+10^(F$65/10))+F$5</f>
        <v>#NUM!</v>
      </c>
      <c r="G79" s="40" t="e">
        <f>10*LOG(10^((G$63-G$5-datablad!I15*IF(AND(Energy_label!$H$12&gt;-10,Energy_label!$H$12&lt;30),1,340/Energy_label!$Q$17))/10)+10^(G$65/10))+G$5</f>
        <v>#NUM!</v>
      </c>
      <c r="H79" s="40" t="e">
        <f>10*LOG(10^((H$63-H$5-datablad!J15*IF(AND(Energy_label!$H$12&gt;-10,Energy_label!$H$12&lt;30),1,340/Energy_label!$Q$17))/10)+10^(H$65/10))+H$5</f>
        <v>#NUM!</v>
      </c>
      <c r="I79" s="40" t="e">
        <f>10*LOG(10^((I$63-I$5-datablad!K15*IF(AND(Energy_label!$H$12&gt;-10,Energy_label!$H$12&lt;30),1,340/Energy_label!$Q$17))/10)+10^(I$65/10))+I$5</f>
        <v>#NUM!</v>
      </c>
      <c r="J79" s="40" t="e">
        <f>10*LOG(10^((J$63-J$5-datablad!L15*IF(AND(Energy_label!$H$12&gt;-10,Energy_label!$H$12&lt;30),1,340/Energy_label!$Q$17))/10)+10^(J$65/10))+J$5</f>
        <v>#NUM!</v>
      </c>
      <c r="K79" s="40" t="e">
        <f>10*LOG(10^((K$63-K$5-datablad!M15*IF(AND(Energy_label!$H$12&gt;-10,Energy_label!$H$12&lt;30),1,340/Energy_label!$Q$17))/10)+10^(K$65/10))+K$5</f>
        <v>#NUM!</v>
      </c>
      <c r="L79" s="40" t="e">
        <f>10*LOG(10^((L$63-L$5-datablad!N15*IF(AND(Energy_label!$H$12&gt;-10,Energy_label!$H$12&lt;30),1,340/Energy_label!$Q$17))/10)+10^(L$65/10))+L$5</f>
        <v>#NUM!</v>
      </c>
      <c r="M79" s="42" t="e">
        <f t="shared" si="11"/>
        <v>#NUM!</v>
      </c>
      <c r="N79" s="31" t="e">
        <f>IF(M79&lt;Energy_label!N$8,1,0)</f>
        <v>#NUM!</v>
      </c>
      <c r="O79" s="56" t="e">
        <f>0.5*Energy_label!$N$17*Energy_label!$G$17^2*O$25</f>
        <v>#NUM!</v>
      </c>
      <c r="P79" s="56" t="e">
        <f>0.5*Energy_label!$N$17*Energy_label!$G$17^2*P$5*B79/1000</f>
        <v>#NUM!</v>
      </c>
      <c r="Q79" s="56" t="e">
        <f>0.5*Energy_label!$N$17*Energy_label!$G$17^2*Q$25</f>
        <v>#NUM!</v>
      </c>
      <c r="R79" s="58" t="e">
        <f t="shared" si="12"/>
        <v>#NUM!</v>
      </c>
    </row>
    <row r="80" spans="1:22" x14ac:dyDescent="0.15">
      <c r="B80">
        <v>3750</v>
      </c>
      <c r="C80" s="40" t="e">
        <f>10*LOG(10^((C$63-C$5-datablad!E16*IF(AND(Energy_label!$H$12&gt;-10,Energy_label!$H$12&lt;30),1,340/Energy_label!$Q$17))/10)+10^(C$65/10))+C$5</f>
        <v>#NUM!</v>
      </c>
      <c r="D80" s="40" t="e">
        <f>10*LOG(10^((D$63-D$5-datablad!F16*IF(AND(Energy_label!$H$12&gt;-10,Energy_label!$H$12&lt;30),1,340/Energy_label!$Q$17))/10)+10^(D$65/10))+D$5</f>
        <v>#NUM!</v>
      </c>
      <c r="E80" s="40" t="e">
        <f>10*LOG(10^((E$63-E$5-datablad!G16*IF(AND(Energy_label!$H$12&gt;-10,Energy_label!$H$12&lt;30),1,340/Energy_label!$Q$17))/10)+10^(E$65/10))+E$5</f>
        <v>#NUM!</v>
      </c>
      <c r="F80" s="40" t="e">
        <f>10*LOG(10^((F$63-F$5-datablad!H16*IF(AND(Energy_label!$H$12&gt;-10,Energy_label!$H$12&lt;30),1,340/Energy_label!$Q$17))/10)+10^(F$65/10))+F$5</f>
        <v>#NUM!</v>
      </c>
      <c r="G80" s="40" t="e">
        <f>10*LOG(10^((G$63-G$5-datablad!I16*IF(AND(Energy_label!$H$12&gt;-10,Energy_label!$H$12&lt;30),1,340/Energy_label!$Q$17))/10)+10^(G$65/10))+G$5</f>
        <v>#NUM!</v>
      </c>
      <c r="H80" s="40" t="e">
        <f>10*LOG(10^((H$63-H$5-datablad!J16*IF(AND(Energy_label!$H$12&gt;-10,Energy_label!$H$12&lt;30),1,340/Energy_label!$Q$17))/10)+10^(H$65/10))+H$5</f>
        <v>#NUM!</v>
      </c>
      <c r="I80" s="40" t="e">
        <f>10*LOG(10^((I$63-I$5-datablad!K16*IF(AND(Energy_label!$H$12&gt;-10,Energy_label!$H$12&lt;30),1,340/Energy_label!$Q$17))/10)+10^(I$65/10))+I$5</f>
        <v>#NUM!</v>
      </c>
      <c r="J80" s="40" t="e">
        <f>10*LOG(10^((J$63-J$5-datablad!L16*IF(AND(Energy_label!$H$12&gt;-10,Energy_label!$H$12&lt;30),1,340/Energy_label!$Q$17))/10)+10^(J$65/10))+J$5</f>
        <v>#NUM!</v>
      </c>
      <c r="K80" s="40" t="e">
        <f>10*LOG(10^((K$63-K$5-datablad!M16*IF(AND(Energy_label!$H$12&gt;-10,Energy_label!$H$12&lt;30),1,340/Energy_label!$Q$17))/10)+10^(K$65/10))+K$5</f>
        <v>#NUM!</v>
      </c>
      <c r="L80" s="40" t="e">
        <f>10*LOG(10^((L$63-L$5-datablad!N16*IF(AND(Energy_label!$H$12&gt;-10,Energy_label!$H$12&lt;30),1,340/Energy_label!$Q$17))/10)+10^(L$65/10))+L$5</f>
        <v>#NUM!</v>
      </c>
      <c r="M80" s="42" t="e">
        <f t="shared" si="11"/>
        <v>#NUM!</v>
      </c>
      <c r="N80" s="31" t="e">
        <f>IF(M80&lt;Energy_label!N$8,1,0)</f>
        <v>#NUM!</v>
      </c>
      <c r="O80" s="56" t="e">
        <f>0.5*Energy_label!$N$17*Energy_label!$G$17^2*O$25</f>
        <v>#NUM!</v>
      </c>
      <c r="P80" s="56" t="e">
        <f>0.5*Energy_label!$N$17*Energy_label!$G$17^2*P$5*B80/1000</f>
        <v>#NUM!</v>
      </c>
      <c r="Q80" s="56" t="e">
        <f>0.5*Energy_label!$N$17*Energy_label!$G$17^2*Q$25</f>
        <v>#NUM!</v>
      </c>
      <c r="R80" s="58" t="e">
        <f t="shared" si="12"/>
        <v>#NUM!</v>
      </c>
    </row>
    <row r="81" spans="1:18" x14ac:dyDescent="0.15">
      <c r="B81">
        <v>4000</v>
      </c>
      <c r="C81" s="40" t="e">
        <f>10*LOG(10^((C$63-C$5-datablad!E17*IF(AND(Energy_label!$H$12&gt;-10,Energy_label!$H$12&lt;30),1,340/Energy_label!$Q$17))/10)+10^(C$65/10))+C$5</f>
        <v>#NUM!</v>
      </c>
      <c r="D81" s="40" t="e">
        <f>10*LOG(10^((D$63-D$5-datablad!F17*IF(AND(Energy_label!$H$12&gt;-10,Energy_label!$H$12&lt;30),1,340/Energy_label!$Q$17))/10)+10^(D$65/10))+D$5</f>
        <v>#NUM!</v>
      </c>
      <c r="E81" s="40" t="e">
        <f>10*LOG(10^((E$63-E$5-datablad!G17*IF(AND(Energy_label!$H$12&gt;-10,Energy_label!$H$12&lt;30),1,340/Energy_label!$Q$17))/10)+10^(E$65/10))+E$5</f>
        <v>#NUM!</v>
      </c>
      <c r="F81" s="40" t="e">
        <f>10*LOG(10^((F$63-F$5-datablad!H17*IF(AND(Energy_label!$H$12&gt;-10,Energy_label!$H$12&lt;30),1,340/Energy_label!$Q$17))/10)+10^(F$65/10))+F$5</f>
        <v>#NUM!</v>
      </c>
      <c r="G81" s="40" t="e">
        <f>10*LOG(10^((G$63-G$5-datablad!I17*IF(AND(Energy_label!$H$12&gt;-10,Energy_label!$H$12&lt;30),1,340/Energy_label!$Q$17))/10)+10^(G$65/10))+G$5</f>
        <v>#NUM!</v>
      </c>
      <c r="H81" s="40" t="e">
        <f>10*LOG(10^((H$63-H$5-datablad!J17*IF(AND(Energy_label!$H$12&gt;-10,Energy_label!$H$12&lt;30),1,340/Energy_label!$Q$17))/10)+10^(H$65/10))+H$5</f>
        <v>#NUM!</v>
      </c>
      <c r="I81" s="40" t="e">
        <f>10*LOG(10^((I$63-I$5-datablad!K17*IF(AND(Energy_label!$H$12&gt;-10,Energy_label!$H$12&lt;30),1,340/Energy_label!$Q$17))/10)+10^(I$65/10))+I$5</f>
        <v>#NUM!</v>
      </c>
      <c r="J81" s="40" t="e">
        <f>10*LOG(10^((J$63-J$5-datablad!L17*IF(AND(Energy_label!$H$12&gt;-10,Energy_label!$H$12&lt;30),1,340/Energy_label!$Q$17))/10)+10^(J$65/10))+J$5</f>
        <v>#NUM!</v>
      </c>
      <c r="K81" s="40" t="e">
        <f>10*LOG(10^((K$63-K$5-datablad!M17*IF(AND(Energy_label!$H$12&gt;-10,Energy_label!$H$12&lt;30),1,340/Energy_label!$Q$17))/10)+10^(K$65/10))+K$5</f>
        <v>#NUM!</v>
      </c>
      <c r="L81" s="40" t="e">
        <f>10*LOG(10^((L$63-L$5-datablad!N17*IF(AND(Energy_label!$H$12&gt;-10,Energy_label!$H$12&lt;30),1,340/Energy_label!$Q$17))/10)+10^(L$65/10))+L$5</f>
        <v>#NUM!</v>
      </c>
      <c r="M81" s="42" t="e">
        <f t="shared" si="11"/>
        <v>#NUM!</v>
      </c>
      <c r="N81" s="31" t="e">
        <f>IF(M81&lt;Energy_label!N$8,1,0)</f>
        <v>#NUM!</v>
      </c>
      <c r="O81" s="56" t="e">
        <f>0.5*Energy_label!$N$17*Energy_label!$G$17^2*O$25</f>
        <v>#NUM!</v>
      </c>
      <c r="P81" s="56" t="e">
        <f>0.5*Energy_label!$N$17*Energy_label!$G$17^2*P$5*B81/1000</f>
        <v>#NUM!</v>
      </c>
      <c r="Q81" s="56" t="e">
        <f>0.5*Energy_label!$N$17*Energy_label!$G$17^2*Q$25</f>
        <v>#NUM!</v>
      </c>
      <c r="R81" s="58" t="e">
        <f t="shared" si="12"/>
        <v>#NUM!</v>
      </c>
    </row>
    <row r="82" spans="1:18" x14ac:dyDescent="0.15">
      <c r="B82">
        <v>4250</v>
      </c>
      <c r="C82" s="40" t="e">
        <f>10*LOG(10^((C$63-C$5-datablad!E18*IF(AND(Energy_label!$H$12&gt;-10,Energy_label!$H$12&lt;30),1,340/Energy_label!$Q$17))/10)+10^(C$65/10))+C$5</f>
        <v>#NUM!</v>
      </c>
      <c r="D82" s="40" t="e">
        <f>10*LOG(10^((D$63-D$5-datablad!F18*IF(AND(Energy_label!$H$12&gt;-10,Energy_label!$H$12&lt;30),1,340/Energy_label!$Q$17))/10)+10^(D$65/10))+D$5</f>
        <v>#NUM!</v>
      </c>
      <c r="E82" s="40" t="e">
        <f>10*LOG(10^((E$63-E$5-datablad!G18*IF(AND(Energy_label!$H$12&gt;-10,Energy_label!$H$12&lt;30),1,340/Energy_label!$Q$17))/10)+10^(E$65/10))+E$5</f>
        <v>#NUM!</v>
      </c>
      <c r="F82" s="40" t="e">
        <f>10*LOG(10^((F$63-F$5-datablad!H18*IF(AND(Energy_label!$H$12&gt;-10,Energy_label!$H$12&lt;30),1,340/Energy_label!$Q$17))/10)+10^(F$65/10))+F$5</f>
        <v>#NUM!</v>
      </c>
      <c r="G82" s="40" t="e">
        <f>10*LOG(10^((G$63-G$5-datablad!I18*IF(AND(Energy_label!$H$12&gt;-10,Energy_label!$H$12&lt;30),1,340/Energy_label!$Q$17))/10)+10^(G$65/10))+G$5</f>
        <v>#NUM!</v>
      </c>
      <c r="H82" s="40" t="e">
        <f>10*LOG(10^((H$63-H$5-datablad!J18*IF(AND(Energy_label!$H$12&gt;-10,Energy_label!$H$12&lt;30),1,340/Energy_label!$Q$17))/10)+10^(H$65/10))+H$5</f>
        <v>#NUM!</v>
      </c>
      <c r="I82" s="40" t="e">
        <f>10*LOG(10^((I$63-I$5-datablad!K18*IF(AND(Energy_label!$H$12&gt;-10,Energy_label!$H$12&lt;30),1,340/Energy_label!$Q$17))/10)+10^(I$65/10))+I$5</f>
        <v>#NUM!</v>
      </c>
      <c r="J82" s="40" t="e">
        <f>10*LOG(10^((J$63-J$5-datablad!L18*IF(AND(Energy_label!$H$12&gt;-10,Energy_label!$H$12&lt;30),1,340/Energy_label!$Q$17))/10)+10^(J$65/10))+J$5</f>
        <v>#NUM!</v>
      </c>
      <c r="K82" s="40" t="e">
        <f>10*LOG(10^((K$63-K$5-datablad!M18*IF(AND(Energy_label!$H$12&gt;-10,Energy_label!$H$12&lt;30),1,340/Energy_label!$Q$17))/10)+10^(K$65/10))+K$5</f>
        <v>#NUM!</v>
      </c>
      <c r="L82" s="40" t="e">
        <f>10*LOG(10^((L$63-L$5-datablad!N18*IF(AND(Energy_label!$H$12&gt;-10,Energy_label!$H$12&lt;30),1,340/Energy_label!$Q$17))/10)+10^(L$65/10))+L$5</f>
        <v>#NUM!</v>
      </c>
      <c r="M82" s="42" t="e">
        <f t="shared" si="11"/>
        <v>#NUM!</v>
      </c>
      <c r="N82" s="31" t="e">
        <f>IF(M82&lt;Energy_label!N$8,1,0)</f>
        <v>#NUM!</v>
      </c>
      <c r="O82" s="56" t="e">
        <f>0.5*Energy_label!$N$17*Energy_label!$G$17^2*O$25</f>
        <v>#NUM!</v>
      </c>
      <c r="P82" s="56" t="e">
        <f>0.5*Energy_label!$N$17*Energy_label!$G$17^2*P$5*B82/1000</f>
        <v>#NUM!</v>
      </c>
      <c r="Q82" s="56" t="e">
        <f>0.5*Energy_label!$N$17*Energy_label!$G$17^2*Q$25</f>
        <v>#NUM!</v>
      </c>
      <c r="R82" s="58" t="e">
        <f t="shared" si="12"/>
        <v>#NUM!</v>
      </c>
    </row>
    <row r="83" spans="1:18" ht="12" thickBot="1" x14ac:dyDescent="0.2">
      <c r="B83">
        <v>4500</v>
      </c>
      <c r="C83" s="40" t="e">
        <f>10*LOG(10^((C$63-C$5-datablad!E19*IF(AND(Energy_label!$H$12&gt;-10,Energy_label!$H$12&lt;30),1,340/Energy_label!$Q$17))/10)+10^(C$65/10))+C$5</f>
        <v>#NUM!</v>
      </c>
      <c r="D83" s="40" t="e">
        <f>10*LOG(10^((D$63-D$5-datablad!F19*IF(AND(Energy_label!$H$12&gt;-10,Energy_label!$H$12&lt;30),1,340/Energy_label!$Q$17))/10)+10^(D$65/10))+D$5</f>
        <v>#NUM!</v>
      </c>
      <c r="E83" s="40" t="e">
        <f>10*LOG(10^((E$63-E$5-datablad!G19*IF(AND(Energy_label!$H$12&gt;-10,Energy_label!$H$12&lt;30),1,340/Energy_label!$Q$17))/10)+10^(E$65/10))+E$5</f>
        <v>#NUM!</v>
      </c>
      <c r="F83" s="40" t="e">
        <f>10*LOG(10^((F$63-F$5-datablad!H19*IF(AND(Energy_label!$H$12&gt;-10,Energy_label!$H$12&lt;30),1,340/Energy_label!$Q$17))/10)+10^(F$65/10))+F$5</f>
        <v>#NUM!</v>
      </c>
      <c r="G83" s="40" t="e">
        <f>10*LOG(10^((G$63-G$5-datablad!I19*IF(AND(Energy_label!$H$12&gt;-10,Energy_label!$H$12&lt;30),1,340/Energy_label!$Q$17))/10)+10^(G$65/10))+G$5</f>
        <v>#NUM!</v>
      </c>
      <c r="H83" s="40" t="e">
        <f>10*LOG(10^((H$63-H$5-datablad!J19*IF(AND(Energy_label!$H$12&gt;-10,Energy_label!$H$12&lt;30),1,340/Energy_label!$Q$17))/10)+10^(H$65/10))+H$5</f>
        <v>#NUM!</v>
      </c>
      <c r="I83" s="40" t="e">
        <f>10*LOG(10^((I$63-I$5-datablad!K19*IF(AND(Energy_label!$H$12&gt;-10,Energy_label!$H$12&lt;30),1,340/Energy_label!$Q$17))/10)+10^(I$65/10))+I$5</f>
        <v>#NUM!</v>
      </c>
      <c r="J83" s="40" t="e">
        <f>10*LOG(10^((J$63-J$5-datablad!L19*IF(AND(Energy_label!$H$12&gt;-10,Energy_label!$H$12&lt;30),1,340/Energy_label!$Q$17))/10)+10^(J$65/10))+J$5</f>
        <v>#NUM!</v>
      </c>
      <c r="K83" s="40" t="e">
        <f>10*LOG(10^((K$63-K$5-datablad!M19*IF(AND(Energy_label!$H$12&gt;-10,Energy_label!$H$12&lt;30),1,340/Energy_label!$Q$17))/10)+10^(K$65/10))+K$5</f>
        <v>#NUM!</v>
      </c>
      <c r="L83" s="40" t="e">
        <f>10*LOG(10^((L$63-L$5-datablad!N19*IF(AND(Energy_label!$H$12&gt;-10,Energy_label!$H$12&lt;30),1,340/Energy_label!$Q$17))/10)+10^(L$65/10))+L$5</f>
        <v>#NUM!</v>
      </c>
      <c r="M83" s="43" t="e">
        <f>10*LOG(10^(C83/10)+10^(D83/10)+10^(E83/10)+10^(F83/10)+10^(G83/10)+10^(H83/10)+10^(I83/10)+10^(J83/10)+10^(K83/10)+10^(L83/10))</f>
        <v>#NUM!</v>
      </c>
      <c r="N83" s="31" t="e">
        <f>IF(M83&lt;Energy_label!N$8,1,0)</f>
        <v>#NUM!</v>
      </c>
      <c r="O83" s="56" t="e">
        <f>0.5*Energy_label!$N$17*Energy_label!$G$17^2*O$25</f>
        <v>#NUM!</v>
      </c>
      <c r="P83" s="56" t="e">
        <f>0.5*Energy_label!$N$17*Energy_label!$G$17^2*P$5*B83/1000</f>
        <v>#NUM!</v>
      </c>
      <c r="Q83" s="56" t="e">
        <f>0.5*Energy_label!$N$17*Energy_label!$G$17^2*Q$25</f>
        <v>#NUM!</v>
      </c>
      <c r="R83" s="59" t="e">
        <f t="shared" si="12"/>
        <v>#NUM!</v>
      </c>
    </row>
    <row r="84" spans="1:18" x14ac:dyDescent="0.1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  <row r="85" spans="1:18" x14ac:dyDescent="0.1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x14ac:dyDescent="0.15">
      <c r="C86" s="31" t="e">
        <f t="shared" ref="C86:K86" si="13">-0.55*(LOG(C1/$V$63)*3.33-1.65)^2+0.8*(LOG(C1/$V$63)*3.33-1.65)-6+$M86+C3</f>
        <v>#NUM!</v>
      </c>
      <c r="D86" s="31" t="e">
        <f t="shared" si="13"/>
        <v>#NUM!</v>
      </c>
      <c r="E86" s="31" t="e">
        <f t="shared" si="13"/>
        <v>#NUM!</v>
      </c>
      <c r="F86" s="31" t="e">
        <f t="shared" si="13"/>
        <v>#NUM!</v>
      </c>
      <c r="G86" s="31" t="e">
        <f t="shared" si="13"/>
        <v>#NUM!</v>
      </c>
      <c r="H86" s="31" t="e">
        <f t="shared" si="13"/>
        <v>#NUM!</v>
      </c>
      <c r="I86" s="31" t="e">
        <f t="shared" si="13"/>
        <v>#NUM!</v>
      </c>
      <c r="J86" s="31" t="e">
        <f t="shared" si="13"/>
        <v>#NUM!</v>
      </c>
      <c r="K86" s="31" t="e">
        <f t="shared" si="13"/>
        <v>#NUM!</v>
      </c>
      <c r="L86" s="31" t="e">
        <f>-0.55*(LOG(L1/$V$63)*3.33-1.65)^2+0.8*(LOG(L1/$V$63)*3.33-1.65)-6+$M86+L3</f>
        <v>#NUM!</v>
      </c>
      <c r="M86" s="31" t="e">
        <f>7+50*LOG(V63)+10*LOG(Energy_label!I17)</f>
        <v>#NUM!</v>
      </c>
      <c r="N86" s="31"/>
      <c r="O86" s="31"/>
      <c r="P86" s="31"/>
      <c r="Q86" s="31"/>
      <c r="R86" s="31"/>
    </row>
    <row r="87" spans="1:18" ht="12" thickBot="1" x14ac:dyDescent="0.2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</row>
    <row r="88" spans="1:18" x14ac:dyDescent="0.15">
      <c r="A88" t="s">
        <v>57</v>
      </c>
      <c r="B88">
        <v>500</v>
      </c>
      <c r="C88" s="44" t="e">
        <f>10*LOG(10^((C$22-C$5-datablad!E3*IF(AND(Energy_label!$H$12&gt;-10,Energy_label!$H$12&lt;30),1,340/Energy_label!$Q$17))/10)+10^(C$86/10))+C$5</f>
        <v>#NUM!</v>
      </c>
      <c r="D88" s="44" t="e">
        <f>10*LOG(10^((D$22-D$5-datablad!F3*IF(AND(Energy_label!$H$12&gt;-10,Energy_label!$H$12&lt;30),1,340/Energy_label!$Q$17))/10)+10^(D$86/10))+D$5</f>
        <v>#NUM!</v>
      </c>
      <c r="E88" s="44" t="e">
        <f>10*LOG(10^((E$22-E$5-datablad!G3*IF(AND(Energy_label!$H$12&gt;-10,Energy_label!$H$12&lt;30),1,340/Energy_label!$Q$17))/10)+10^(E$86/10))+E$5</f>
        <v>#NUM!</v>
      </c>
      <c r="F88" s="44" t="e">
        <f>10*LOG(10^((F$22-F$5-datablad!H3*IF(AND(Energy_label!$H$12&gt;-10,Energy_label!$H$12&lt;30),1,340/Energy_label!$Q$17))/10)+10^(F$86/10))+F$5</f>
        <v>#NUM!</v>
      </c>
      <c r="G88" s="44" t="e">
        <f>10*LOG(10^((G$22-G$5-datablad!I3*IF(AND(Energy_label!$H$12&gt;-10,Energy_label!$H$12&lt;30),1,340/Energy_label!$Q$17))/10)+10^(G$86/10))+G$5</f>
        <v>#NUM!</v>
      </c>
      <c r="H88" s="44" t="e">
        <f>10*LOG(10^((H$22-H$5-datablad!J3*IF(AND(Energy_label!$H$12&gt;-10,Energy_label!$H$12&lt;30),1,340/Energy_label!$Q$17))/10)+10^(H$86/10))+H$5</f>
        <v>#NUM!</v>
      </c>
      <c r="I88" s="44" t="e">
        <f>10*LOG(10^((I$22-I$5-datablad!K3*IF(AND(Energy_label!$H$12&gt;-10,Energy_label!$H$12&lt;30),1,340/Energy_label!$Q$17))/10)+10^(I$86/10))+I$5</f>
        <v>#NUM!</v>
      </c>
      <c r="J88" s="44" t="e">
        <f>10*LOG(10^((J$22-J$5-datablad!L3*IF(AND(Energy_label!$H$12&gt;-10,Energy_label!$H$12&lt;30),1,340/Energy_label!$Q$17))/10)+10^(J$86/10))+J$5</f>
        <v>#NUM!</v>
      </c>
      <c r="K88" s="44" t="e">
        <f>10*LOG(10^((K$22-K$5-datablad!M3*IF(AND(Energy_label!$H$12&gt;-10,Energy_label!$H$12&lt;30),1,340/Energy_label!$Q$17))/10)+10^(K$86/10))+K$5</f>
        <v>#NUM!</v>
      </c>
      <c r="L88" s="44" t="e">
        <f>10*LOG(10^((L$22-L$5-datablad!N3*IF(AND(Energy_label!$H$12&gt;-10,Energy_label!$H$12&lt;30),1,340/Energy_label!$Q$17))/10)+10^(L$86/10))+L$5</f>
        <v>#NUM!</v>
      </c>
      <c r="M88" s="45" t="e">
        <f t="shared" ref="M88:M104" si="14">10*LOG(10^(C88/10)+10^(D88/10)+10^(E88/10)+10^(F88/10)+10^(G88/10)+10^(H88/10)+10^(I88/10)+10^(J88/10)+10^(K88/10)+10^(L88/10))</f>
        <v>#NUM!</v>
      </c>
      <c r="N88" s="31" t="e">
        <f>IF(M88&lt;Energy_label!N$8,1,0)</f>
        <v>#NUM!</v>
      </c>
      <c r="O88" s="60" t="e">
        <f>0.5*Energy_label!$N$17*Energy_label!$G$17^2*O$25</f>
        <v>#NUM!</v>
      </c>
      <c r="P88" s="60" t="e">
        <f>0.5*Energy_label!$N$17*Energy_label!$G$17^2*P$5*B88/1000</f>
        <v>#NUM!</v>
      </c>
      <c r="Q88" s="60" t="e">
        <f>0.5*Energy_label!$N$17*Energy_label!$G$17^2*Q$25</f>
        <v>#NUM!</v>
      </c>
      <c r="R88" s="61" t="e">
        <f t="shared" ref="R88:R103" si="15">R89</f>
        <v>#NUM!</v>
      </c>
    </row>
    <row r="89" spans="1:18" x14ac:dyDescent="0.15">
      <c r="B89">
        <v>750</v>
      </c>
      <c r="C89" s="44" t="e">
        <f>10*LOG(10^((C$22-C$5-datablad!E4*IF(AND(Energy_label!$H$12&gt;-10,Energy_label!$H$12&lt;30),1,340/Energy_label!$Q$17))/10)+10^(C$86/10))+C$5</f>
        <v>#NUM!</v>
      </c>
      <c r="D89" s="44" t="e">
        <f>10*LOG(10^((D$22-D$5-datablad!F4*IF(AND(Energy_label!$H$12&gt;-10,Energy_label!$H$12&lt;30),1,340/Energy_label!$Q$17))/10)+10^(D$86/10))+D$5</f>
        <v>#NUM!</v>
      </c>
      <c r="E89" s="44" t="e">
        <f>10*LOG(10^((E$22-E$5-datablad!G4*IF(AND(Energy_label!$H$12&gt;-10,Energy_label!$H$12&lt;30),1,340/Energy_label!$Q$17))/10)+10^(E$86/10))+E$5</f>
        <v>#NUM!</v>
      </c>
      <c r="F89" s="44" t="e">
        <f>10*LOG(10^((F$22-F$5-datablad!H4*IF(AND(Energy_label!$H$12&gt;-10,Energy_label!$H$12&lt;30),1,340/Energy_label!$Q$17))/10)+10^(F$86/10))+F$5</f>
        <v>#NUM!</v>
      </c>
      <c r="G89" s="44" t="e">
        <f>10*LOG(10^((G$22-G$5-datablad!I4*IF(AND(Energy_label!$H$12&gt;-10,Energy_label!$H$12&lt;30),1,340/Energy_label!$Q$17))/10)+10^(G$86/10))+G$5</f>
        <v>#NUM!</v>
      </c>
      <c r="H89" s="44" t="e">
        <f>10*LOG(10^((H$22-H$5-datablad!J4*IF(AND(Energy_label!$H$12&gt;-10,Energy_label!$H$12&lt;30),1,340/Energy_label!$Q$17))/10)+10^(H$86/10))+H$5</f>
        <v>#NUM!</v>
      </c>
      <c r="I89" s="44" t="e">
        <f>10*LOG(10^((I$22-I$5-datablad!K4*IF(AND(Energy_label!$H$12&gt;-10,Energy_label!$H$12&lt;30),1,340/Energy_label!$Q$17))/10)+10^(I$86/10))+I$5</f>
        <v>#NUM!</v>
      </c>
      <c r="J89" s="44" t="e">
        <f>10*LOG(10^((J$22-J$5-datablad!L4*IF(AND(Energy_label!$H$12&gt;-10,Energy_label!$H$12&lt;30),1,340/Energy_label!$Q$17))/10)+10^(J$86/10))+J$5</f>
        <v>#NUM!</v>
      </c>
      <c r="K89" s="44" t="e">
        <f>10*LOG(10^((K$22-K$5-datablad!M4*IF(AND(Energy_label!$H$12&gt;-10,Energy_label!$H$12&lt;30),1,340/Energy_label!$Q$17))/10)+10^(K$86/10))+K$5</f>
        <v>#NUM!</v>
      </c>
      <c r="L89" s="44" t="e">
        <f>10*LOG(10^((L$22-L$5-datablad!N4*IF(AND(Energy_label!$H$12&gt;-10,Energy_label!$H$12&lt;30),1,340/Energy_label!$Q$17))/10)+10^(L$86/10))+L$5</f>
        <v>#NUM!</v>
      </c>
      <c r="M89" s="46" t="e">
        <f t="shared" si="14"/>
        <v>#NUM!</v>
      </c>
      <c r="N89" s="31" t="e">
        <f>IF(M89&lt;Energy_label!N$8,1,0)</f>
        <v>#NUM!</v>
      </c>
      <c r="O89" s="60" t="e">
        <f>0.5*Energy_label!$N$17*Energy_label!$G$17^2*O$25</f>
        <v>#NUM!</v>
      </c>
      <c r="P89" s="60" t="e">
        <f>0.5*Energy_label!$N$17*Energy_label!$G$17^2*P$5*B89/1000</f>
        <v>#NUM!</v>
      </c>
      <c r="Q89" s="60" t="e">
        <f>0.5*Energy_label!$N$17*Energy_label!$G$17^2*Q$25</f>
        <v>#NUM!</v>
      </c>
      <c r="R89" s="62" t="e">
        <f t="shared" si="15"/>
        <v>#NUM!</v>
      </c>
    </row>
    <row r="90" spans="1:18" x14ac:dyDescent="0.15">
      <c r="B90">
        <v>1000</v>
      </c>
      <c r="C90" s="44" t="e">
        <f>10*LOG(10^((C$22-C$5-datablad!E5*IF(AND(Energy_label!$H$12&gt;-10,Energy_label!$H$12&lt;30),1,340/Energy_label!$Q$17))/10)+10^(C$86/10))+C$5</f>
        <v>#NUM!</v>
      </c>
      <c r="D90" s="44" t="e">
        <f>10*LOG(10^((D$22-D$5-datablad!F5*IF(AND(Energy_label!$H$12&gt;-10,Energy_label!$H$12&lt;30),1,340/Energy_label!$Q$17))/10)+10^(D$86/10))+D$5</f>
        <v>#NUM!</v>
      </c>
      <c r="E90" s="44" t="e">
        <f>10*LOG(10^((E$22-E$5-datablad!G5*IF(AND(Energy_label!$H$12&gt;-10,Energy_label!$H$12&lt;30),1,340/Energy_label!$Q$17))/10)+10^(E$86/10))+E$5</f>
        <v>#NUM!</v>
      </c>
      <c r="F90" s="44" t="e">
        <f>10*LOG(10^((F$22-F$5-datablad!H5*IF(AND(Energy_label!$H$12&gt;-10,Energy_label!$H$12&lt;30),1,340/Energy_label!$Q$17))/10)+10^(F$86/10))+F$5</f>
        <v>#NUM!</v>
      </c>
      <c r="G90" s="44" t="e">
        <f>10*LOG(10^((G$22-G$5-datablad!I5*IF(AND(Energy_label!$H$12&gt;-10,Energy_label!$H$12&lt;30),1,340/Energy_label!$Q$17))/10)+10^(G$86/10))+G$5</f>
        <v>#NUM!</v>
      </c>
      <c r="H90" s="44" t="e">
        <f>10*LOG(10^((H$22-H$5-datablad!J5*IF(AND(Energy_label!$H$12&gt;-10,Energy_label!$H$12&lt;30),1,340/Energy_label!$Q$17))/10)+10^(H$86/10))+H$5</f>
        <v>#NUM!</v>
      </c>
      <c r="I90" s="44" t="e">
        <f>10*LOG(10^((I$22-I$5-datablad!K5*IF(AND(Energy_label!$H$12&gt;-10,Energy_label!$H$12&lt;30),1,340/Energy_label!$Q$17))/10)+10^(I$86/10))+I$5</f>
        <v>#NUM!</v>
      </c>
      <c r="J90" s="44" t="e">
        <f>10*LOG(10^((J$22-J$5-datablad!L5*IF(AND(Energy_label!$H$12&gt;-10,Energy_label!$H$12&lt;30),1,340/Energy_label!$Q$17))/10)+10^(J$86/10))+J$5</f>
        <v>#NUM!</v>
      </c>
      <c r="K90" s="44" t="e">
        <f>10*LOG(10^((K$22-K$5-datablad!M5*IF(AND(Energy_label!$H$12&gt;-10,Energy_label!$H$12&lt;30),1,340/Energy_label!$Q$17))/10)+10^(K$86/10))+K$5</f>
        <v>#NUM!</v>
      </c>
      <c r="L90" s="44" t="e">
        <f>10*LOG(10^((L$22-L$5-datablad!N5*IF(AND(Energy_label!$H$12&gt;-10,Energy_label!$H$12&lt;30),1,340/Energy_label!$Q$17))/10)+10^(L$86/10))+L$5</f>
        <v>#NUM!</v>
      </c>
      <c r="M90" s="46" t="e">
        <f t="shared" si="14"/>
        <v>#NUM!</v>
      </c>
      <c r="N90" s="31" t="e">
        <f>IF(M90&lt;Energy_label!N$8,1,0)</f>
        <v>#NUM!</v>
      </c>
      <c r="O90" s="60" t="e">
        <f>0.5*Energy_label!$N$17*Energy_label!$G$17^2*O$25</f>
        <v>#NUM!</v>
      </c>
      <c r="P90" s="60" t="e">
        <f>0.5*Energy_label!$N$17*Energy_label!$G$17^2*P$5*B90/1000</f>
        <v>#NUM!</v>
      </c>
      <c r="Q90" s="60" t="e">
        <f>0.5*Energy_label!$N$17*Energy_label!$G$17^2*Q$25</f>
        <v>#NUM!</v>
      </c>
      <c r="R90" s="62" t="e">
        <f t="shared" si="15"/>
        <v>#NUM!</v>
      </c>
    </row>
    <row r="91" spans="1:18" x14ac:dyDescent="0.15">
      <c r="B91">
        <v>1250</v>
      </c>
      <c r="C91" s="44" t="e">
        <f>10*LOG(10^((C$22-C$5-datablad!E6*IF(AND(Energy_label!$H$12&gt;-10,Energy_label!$H$12&lt;30),1,340/Energy_label!$Q$17))/10)+10^(C$86/10))+C$5</f>
        <v>#NUM!</v>
      </c>
      <c r="D91" s="44" t="e">
        <f>10*LOG(10^((D$22-D$5-datablad!F6*IF(AND(Energy_label!$H$12&gt;-10,Energy_label!$H$12&lt;30),1,340/Energy_label!$Q$17))/10)+10^(D$86/10))+D$5</f>
        <v>#NUM!</v>
      </c>
      <c r="E91" s="44" t="e">
        <f>10*LOG(10^((E$22-E$5-datablad!G6*IF(AND(Energy_label!$H$12&gt;-10,Energy_label!$H$12&lt;30),1,340/Energy_label!$Q$17))/10)+10^(E$86/10))+E$5</f>
        <v>#NUM!</v>
      </c>
      <c r="F91" s="44" t="e">
        <f>10*LOG(10^((F$22-F$5-datablad!H6*IF(AND(Energy_label!$H$12&gt;-10,Energy_label!$H$12&lt;30),1,340/Energy_label!$Q$17))/10)+10^(F$86/10))+F$5</f>
        <v>#NUM!</v>
      </c>
      <c r="G91" s="44" t="e">
        <f>10*LOG(10^((G$22-G$5-datablad!I6*IF(AND(Energy_label!$H$12&gt;-10,Energy_label!$H$12&lt;30),1,340/Energy_label!$Q$17))/10)+10^(G$86/10))+G$5</f>
        <v>#NUM!</v>
      </c>
      <c r="H91" s="44" t="e">
        <f>10*LOG(10^((H$22-H$5-datablad!J6*IF(AND(Energy_label!$H$12&gt;-10,Energy_label!$H$12&lt;30),1,340/Energy_label!$Q$17))/10)+10^(H$86/10))+H$5</f>
        <v>#NUM!</v>
      </c>
      <c r="I91" s="44" t="e">
        <f>10*LOG(10^((I$22-I$5-datablad!K6*IF(AND(Energy_label!$H$12&gt;-10,Energy_label!$H$12&lt;30),1,340/Energy_label!$Q$17))/10)+10^(I$86/10))+I$5</f>
        <v>#NUM!</v>
      </c>
      <c r="J91" s="44" t="e">
        <f>10*LOG(10^((J$22-J$5-datablad!L6*IF(AND(Energy_label!$H$12&gt;-10,Energy_label!$H$12&lt;30),1,340/Energy_label!$Q$17))/10)+10^(J$86/10))+J$5</f>
        <v>#NUM!</v>
      </c>
      <c r="K91" s="44" t="e">
        <f>10*LOG(10^((K$22-K$5-datablad!M6*IF(AND(Energy_label!$H$12&gt;-10,Energy_label!$H$12&lt;30),1,340/Energy_label!$Q$17))/10)+10^(K$86/10))+K$5</f>
        <v>#NUM!</v>
      </c>
      <c r="L91" s="44" t="e">
        <f>10*LOG(10^((L$22-L$5-datablad!N6*IF(AND(Energy_label!$H$12&gt;-10,Energy_label!$H$12&lt;30),1,340/Energy_label!$Q$17))/10)+10^(L$86/10))+L$5</f>
        <v>#NUM!</v>
      </c>
      <c r="M91" s="46" t="e">
        <f t="shared" si="14"/>
        <v>#NUM!</v>
      </c>
      <c r="N91" s="31" t="e">
        <f>IF(M91&lt;Energy_label!N$8,1,0)</f>
        <v>#NUM!</v>
      </c>
      <c r="O91" s="60" t="e">
        <f>0.5*Energy_label!$N$17*Energy_label!$G$17^2*O$25</f>
        <v>#NUM!</v>
      </c>
      <c r="P91" s="60" t="e">
        <f>0.5*Energy_label!$N$17*Energy_label!$G$17^2*P$5*B91/1000</f>
        <v>#NUM!</v>
      </c>
      <c r="Q91" s="60" t="e">
        <f>0.5*Energy_label!$N$17*Energy_label!$G$17^2*Q$25</f>
        <v>#NUM!</v>
      </c>
      <c r="R91" s="62" t="e">
        <f t="shared" si="15"/>
        <v>#NUM!</v>
      </c>
    </row>
    <row r="92" spans="1:18" x14ac:dyDescent="0.15">
      <c r="B92">
        <v>1500</v>
      </c>
      <c r="C92" s="44" t="e">
        <f>10*LOG(10^((C$22-C$5-datablad!E7*IF(AND(Energy_label!$H$12&gt;-10,Energy_label!$H$12&lt;30),1,340/Energy_label!$Q$17))/10)+10^(C$86/10))+C$5</f>
        <v>#NUM!</v>
      </c>
      <c r="D92" s="44" t="e">
        <f>10*LOG(10^((D$22-D$5-datablad!F7*IF(AND(Energy_label!$H$12&gt;-10,Energy_label!$H$12&lt;30),1,340/Energy_label!$Q$17))/10)+10^(D$86/10))+D$5</f>
        <v>#NUM!</v>
      </c>
      <c r="E92" s="44" t="e">
        <f>10*LOG(10^((E$22-E$5-datablad!G7*IF(AND(Energy_label!$H$12&gt;-10,Energy_label!$H$12&lt;30),1,340/Energy_label!$Q$17))/10)+10^(E$86/10))+E$5</f>
        <v>#NUM!</v>
      </c>
      <c r="F92" s="44" t="e">
        <f>10*LOG(10^((F$22-F$5-datablad!H7*IF(AND(Energy_label!$H$12&gt;-10,Energy_label!$H$12&lt;30),1,340/Energy_label!$Q$17))/10)+10^(F$86/10))+F$5</f>
        <v>#NUM!</v>
      </c>
      <c r="G92" s="44" t="e">
        <f>10*LOG(10^((G$22-G$5-datablad!I7*IF(AND(Energy_label!$H$12&gt;-10,Energy_label!$H$12&lt;30),1,340/Energy_label!$Q$17))/10)+10^(G$86/10))+G$5</f>
        <v>#NUM!</v>
      </c>
      <c r="H92" s="44" t="e">
        <f>10*LOG(10^((H$22-H$5-datablad!J7*IF(AND(Energy_label!$H$12&gt;-10,Energy_label!$H$12&lt;30),1,340/Energy_label!$Q$17))/10)+10^(H$86/10))+H$5</f>
        <v>#NUM!</v>
      </c>
      <c r="I92" s="44" t="e">
        <f>10*LOG(10^((I$22-I$5-datablad!K7*IF(AND(Energy_label!$H$12&gt;-10,Energy_label!$H$12&lt;30),1,340/Energy_label!$Q$17))/10)+10^(I$86/10))+I$5</f>
        <v>#NUM!</v>
      </c>
      <c r="J92" s="44" t="e">
        <f>10*LOG(10^((J$22-J$5-datablad!L7*IF(AND(Energy_label!$H$12&gt;-10,Energy_label!$H$12&lt;30),1,340/Energy_label!$Q$17))/10)+10^(J$86/10))+J$5</f>
        <v>#NUM!</v>
      </c>
      <c r="K92" s="44" t="e">
        <f>10*LOG(10^((K$22-K$5-datablad!M7*IF(AND(Energy_label!$H$12&gt;-10,Energy_label!$H$12&lt;30),1,340/Energy_label!$Q$17))/10)+10^(K$86/10))+K$5</f>
        <v>#NUM!</v>
      </c>
      <c r="L92" s="44" t="e">
        <f>10*LOG(10^((L$22-L$5-datablad!N7*IF(AND(Energy_label!$H$12&gt;-10,Energy_label!$H$12&lt;30),1,340/Energy_label!$Q$17))/10)+10^(L$86/10))+L$5</f>
        <v>#NUM!</v>
      </c>
      <c r="M92" s="46" t="e">
        <f t="shared" si="14"/>
        <v>#NUM!</v>
      </c>
      <c r="N92" s="31" t="e">
        <f>IF(M92&lt;Energy_label!N$8,1,0)</f>
        <v>#NUM!</v>
      </c>
      <c r="O92" s="60" t="e">
        <f>0.5*Energy_label!$N$17*Energy_label!$G$17^2*O$25</f>
        <v>#NUM!</v>
      </c>
      <c r="P92" s="60" t="e">
        <f>0.5*Energy_label!$N$17*Energy_label!$G$17^2*P$5*B92/1000</f>
        <v>#NUM!</v>
      </c>
      <c r="Q92" s="60" t="e">
        <f>0.5*Energy_label!$N$17*Energy_label!$G$17^2*Q$25</f>
        <v>#NUM!</v>
      </c>
      <c r="R92" s="62" t="e">
        <f t="shared" si="15"/>
        <v>#NUM!</v>
      </c>
    </row>
    <row r="93" spans="1:18" x14ac:dyDescent="0.15">
      <c r="B93">
        <v>1750</v>
      </c>
      <c r="C93" s="44" t="e">
        <f>10*LOG(10^((C$22-C$5-datablad!E8*IF(AND(Energy_label!$H$12&gt;-10,Energy_label!$H$12&lt;30),1,340/Energy_label!$Q$17))/10)+10^(C$86/10))+C$5</f>
        <v>#NUM!</v>
      </c>
      <c r="D93" s="44" t="e">
        <f>10*LOG(10^((D$22-D$5-datablad!F8*IF(AND(Energy_label!$H$12&gt;-10,Energy_label!$H$12&lt;30),1,340/Energy_label!$Q$17))/10)+10^(D$86/10))+D$5</f>
        <v>#NUM!</v>
      </c>
      <c r="E93" s="44" t="e">
        <f>10*LOG(10^((E$22-E$5-datablad!G8*IF(AND(Energy_label!$H$12&gt;-10,Energy_label!$H$12&lt;30),1,340/Energy_label!$Q$17))/10)+10^(E$86/10))+E$5</f>
        <v>#NUM!</v>
      </c>
      <c r="F93" s="44" t="e">
        <f>10*LOG(10^((F$22-F$5-datablad!H8*IF(AND(Energy_label!$H$12&gt;-10,Energy_label!$H$12&lt;30),1,340/Energy_label!$Q$17))/10)+10^(F$86/10))+F$5</f>
        <v>#NUM!</v>
      </c>
      <c r="G93" s="44" t="e">
        <f>10*LOG(10^((G$22-G$5-datablad!I8*IF(AND(Energy_label!$H$12&gt;-10,Energy_label!$H$12&lt;30),1,340/Energy_label!$Q$17))/10)+10^(G$86/10))+G$5</f>
        <v>#NUM!</v>
      </c>
      <c r="H93" s="44" t="e">
        <f>10*LOG(10^((H$22-H$5-datablad!J8*IF(AND(Energy_label!$H$12&gt;-10,Energy_label!$H$12&lt;30),1,340/Energy_label!$Q$17))/10)+10^(H$86/10))+H$5</f>
        <v>#NUM!</v>
      </c>
      <c r="I93" s="44" t="e">
        <f>10*LOG(10^((I$22-I$5-datablad!K8*IF(AND(Energy_label!$H$12&gt;-10,Energy_label!$H$12&lt;30),1,340/Energy_label!$Q$17))/10)+10^(I$86/10))+I$5</f>
        <v>#NUM!</v>
      </c>
      <c r="J93" s="44" t="e">
        <f>10*LOG(10^((J$22-J$5-datablad!L8*IF(AND(Energy_label!$H$12&gt;-10,Energy_label!$H$12&lt;30),1,340/Energy_label!$Q$17))/10)+10^(J$86/10))+J$5</f>
        <v>#NUM!</v>
      </c>
      <c r="K93" s="44" t="e">
        <f>10*LOG(10^((K$22-K$5-datablad!M8*IF(AND(Energy_label!$H$12&gt;-10,Energy_label!$H$12&lt;30),1,340/Energy_label!$Q$17))/10)+10^(K$86/10))+K$5</f>
        <v>#NUM!</v>
      </c>
      <c r="L93" s="44" t="e">
        <f>10*LOG(10^((L$22-L$5-datablad!N8*IF(AND(Energy_label!$H$12&gt;-10,Energy_label!$H$12&lt;30),1,340/Energy_label!$Q$17))/10)+10^(L$86/10))+L$5</f>
        <v>#NUM!</v>
      </c>
      <c r="M93" s="46" t="e">
        <f t="shared" si="14"/>
        <v>#NUM!</v>
      </c>
      <c r="N93" s="31" t="e">
        <f>IF(M93&lt;Energy_label!N$8,1,0)</f>
        <v>#NUM!</v>
      </c>
      <c r="O93" s="60" t="e">
        <f>0.5*Energy_label!$N$17*Energy_label!$G$17^2*O$25</f>
        <v>#NUM!</v>
      </c>
      <c r="P93" s="60" t="e">
        <f>0.5*Energy_label!$N$17*Energy_label!$G$17^2*P$5*B93/1000</f>
        <v>#NUM!</v>
      </c>
      <c r="Q93" s="60" t="e">
        <f>0.5*Energy_label!$N$17*Energy_label!$G$17^2*Q$25</f>
        <v>#NUM!</v>
      </c>
      <c r="R93" s="62" t="e">
        <f t="shared" si="15"/>
        <v>#NUM!</v>
      </c>
    </row>
    <row r="94" spans="1:18" x14ac:dyDescent="0.15">
      <c r="B94">
        <v>2000</v>
      </c>
      <c r="C94" s="44" t="e">
        <f>10*LOG(10^((C$22-C$5-datablad!E9*IF(AND(Energy_label!$H$12&gt;-10,Energy_label!$H$12&lt;30),1,340/Energy_label!$Q$17))/10)+10^(C$86/10))+C$5</f>
        <v>#NUM!</v>
      </c>
      <c r="D94" s="44" t="e">
        <f>10*LOG(10^((D$22-D$5-datablad!F9*IF(AND(Energy_label!$H$12&gt;-10,Energy_label!$H$12&lt;30),1,340/Energy_label!$Q$17))/10)+10^(D$86/10))+D$5</f>
        <v>#NUM!</v>
      </c>
      <c r="E94" s="44" t="e">
        <f>10*LOG(10^((E$22-E$5-datablad!G9*IF(AND(Energy_label!$H$12&gt;-10,Energy_label!$H$12&lt;30),1,340/Energy_label!$Q$17))/10)+10^(E$86/10))+E$5</f>
        <v>#NUM!</v>
      </c>
      <c r="F94" s="44" t="e">
        <f>10*LOG(10^((F$22-F$5-datablad!H9*IF(AND(Energy_label!$H$12&gt;-10,Energy_label!$H$12&lt;30),1,340/Energy_label!$Q$17))/10)+10^(F$86/10))+F$5</f>
        <v>#NUM!</v>
      </c>
      <c r="G94" s="44" t="e">
        <f>10*LOG(10^((G$22-G$5-datablad!I9*IF(AND(Energy_label!$H$12&gt;-10,Energy_label!$H$12&lt;30),1,340/Energy_label!$Q$17))/10)+10^(G$86/10))+G$5</f>
        <v>#NUM!</v>
      </c>
      <c r="H94" s="44" t="e">
        <f>10*LOG(10^((H$22-H$5-datablad!J9*IF(AND(Energy_label!$H$12&gt;-10,Energy_label!$H$12&lt;30),1,340/Energy_label!$Q$17))/10)+10^(H$86/10))+H$5</f>
        <v>#NUM!</v>
      </c>
      <c r="I94" s="44" t="e">
        <f>10*LOG(10^((I$22-I$5-datablad!K9*IF(AND(Energy_label!$H$12&gt;-10,Energy_label!$H$12&lt;30),1,340/Energy_label!$Q$17))/10)+10^(I$86/10))+I$5</f>
        <v>#NUM!</v>
      </c>
      <c r="J94" s="44" t="e">
        <f>10*LOG(10^((J$22-J$5-datablad!L9*IF(AND(Energy_label!$H$12&gt;-10,Energy_label!$H$12&lt;30),1,340/Energy_label!$Q$17))/10)+10^(J$86/10))+J$5</f>
        <v>#NUM!</v>
      </c>
      <c r="K94" s="44" t="e">
        <f>10*LOG(10^((K$22-K$5-datablad!M9*IF(AND(Energy_label!$H$12&gt;-10,Energy_label!$H$12&lt;30),1,340/Energy_label!$Q$17))/10)+10^(K$86/10))+K$5</f>
        <v>#NUM!</v>
      </c>
      <c r="L94" s="44" t="e">
        <f>10*LOG(10^((L$22-L$5-datablad!N9*IF(AND(Energy_label!$H$12&gt;-10,Energy_label!$H$12&lt;30),1,340/Energy_label!$Q$17))/10)+10^(L$86/10))+L$5</f>
        <v>#NUM!</v>
      </c>
      <c r="M94" s="46" t="e">
        <f t="shared" si="14"/>
        <v>#NUM!</v>
      </c>
      <c r="N94" s="31" t="e">
        <f>IF(M94&lt;Energy_label!N$8,1,0)</f>
        <v>#NUM!</v>
      </c>
      <c r="O94" s="60" t="e">
        <f>0.5*Energy_label!$N$17*Energy_label!$G$17^2*O$25</f>
        <v>#NUM!</v>
      </c>
      <c r="P94" s="60" t="e">
        <f>0.5*Energy_label!$N$17*Energy_label!$G$17^2*P$5*B94/1000</f>
        <v>#NUM!</v>
      </c>
      <c r="Q94" s="60" t="e">
        <f>0.5*Energy_label!$N$17*Energy_label!$G$17^2*Q$25</f>
        <v>#NUM!</v>
      </c>
      <c r="R94" s="62" t="e">
        <f t="shared" si="15"/>
        <v>#NUM!</v>
      </c>
    </row>
    <row r="95" spans="1:18" x14ac:dyDescent="0.15">
      <c r="B95">
        <v>2250</v>
      </c>
      <c r="C95" s="44" t="e">
        <f>10*LOG(10^((C$22-C$5-datablad!E10*IF(AND(Energy_label!$H$12&gt;-10,Energy_label!$H$12&lt;30),1,340/Energy_label!$Q$17))/10)+10^(C$86/10))+C$5</f>
        <v>#NUM!</v>
      </c>
      <c r="D95" s="44" t="e">
        <f>10*LOG(10^((D$22-D$5-datablad!F10*IF(AND(Energy_label!$H$12&gt;-10,Energy_label!$H$12&lt;30),1,340/Energy_label!$Q$17))/10)+10^(D$86/10))+D$5</f>
        <v>#NUM!</v>
      </c>
      <c r="E95" s="44" t="e">
        <f>10*LOG(10^((E$22-E$5-datablad!G10*IF(AND(Energy_label!$H$12&gt;-10,Energy_label!$H$12&lt;30),1,340/Energy_label!$Q$17))/10)+10^(E$86/10))+E$5</f>
        <v>#NUM!</v>
      </c>
      <c r="F95" s="44" t="e">
        <f>10*LOG(10^((F$22-F$5-datablad!H10*IF(AND(Energy_label!$H$12&gt;-10,Energy_label!$H$12&lt;30),1,340/Energy_label!$Q$17))/10)+10^(F$86/10))+F$5</f>
        <v>#NUM!</v>
      </c>
      <c r="G95" s="44" t="e">
        <f>10*LOG(10^((G$22-G$5-datablad!I10*IF(AND(Energy_label!$H$12&gt;-10,Energy_label!$H$12&lt;30),1,340/Energy_label!$Q$17))/10)+10^(G$86/10))+G$5</f>
        <v>#NUM!</v>
      </c>
      <c r="H95" s="44" t="e">
        <f>10*LOG(10^((H$22-H$5-datablad!J10*IF(AND(Energy_label!$H$12&gt;-10,Energy_label!$H$12&lt;30),1,340/Energy_label!$Q$17))/10)+10^(H$86/10))+H$5</f>
        <v>#NUM!</v>
      </c>
      <c r="I95" s="44" t="e">
        <f>10*LOG(10^((I$22-I$5-datablad!K10*IF(AND(Energy_label!$H$12&gt;-10,Energy_label!$H$12&lt;30),1,340/Energy_label!$Q$17))/10)+10^(I$86/10))+I$5</f>
        <v>#NUM!</v>
      </c>
      <c r="J95" s="44" t="e">
        <f>10*LOG(10^((J$22-J$5-datablad!L10*IF(AND(Energy_label!$H$12&gt;-10,Energy_label!$H$12&lt;30),1,340/Energy_label!$Q$17))/10)+10^(J$86/10))+J$5</f>
        <v>#NUM!</v>
      </c>
      <c r="K95" s="44" t="e">
        <f>10*LOG(10^((K$22-K$5-datablad!M10*IF(AND(Energy_label!$H$12&gt;-10,Energy_label!$H$12&lt;30),1,340/Energy_label!$Q$17))/10)+10^(K$86/10))+K$5</f>
        <v>#NUM!</v>
      </c>
      <c r="L95" s="44" t="e">
        <f>10*LOG(10^((L$22-L$5-datablad!N10*IF(AND(Energy_label!$H$12&gt;-10,Energy_label!$H$12&lt;30),1,340/Energy_label!$Q$17))/10)+10^(L$86/10))+L$5</f>
        <v>#NUM!</v>
      </c>
      <c r="M95" s="46" t="e">
        <f t="shared" si="14"/>
        <v>#NUM!</v>
      </c>
      <c r="N95" s="31" t="e">
        <f>IF(M95&lt;Energy_label!N$8,1,0)</f>
        <v>#NUM!</v>
      </c>
      <c r="O95" s="60" t="e">
        <f>0.5*Energy_label!$N$17*Energy_label!$G$17^2*O$25</f>
        <v>#NUM!</v>
      </c>
      <c r="P95" s="60" t="e">
        <f>0.5*Energy_label!$N$17*Energy_label!$G$17^2*P$5*B95/1000</f>
        <v>#NUM!</v>
      </c>
      <c r="Q95" s="60" t="e">
        <f>0.5*Energy_label!$N$17*Energy_label!$G$17^2*Q$25</f>
        <v>#NUM!</v>
      </c>
      <c r="R95" s="62" t="e">
        <f t="shared" si="15"/>
        <v>#NUM!</v>
      </c>
    </row>
    <row r="96" spans="1:18" x14ac:dyDescent="0.15">
      <c r="B96">
        <v>2500</v>
      </c>
      <c r="C96" s="44" t="e">
        <f>10*LOG(10^((C$22-C$5-datablad!E11*IF(AND(Energy_label!$H$12&gt;-10,Energy_label!$H$12&lt;30),1,340/Energy_label!$Q$17))/10)+10^(C$86/10))+C$5</f>
        <v>#NUM!</v>
      </c>
      <c r="D96" s="44" t="e">
        <f>10*LOG(10^((D$22-D$5-datablad!F11*IF(AND(Energy_label!$H$12&gt;-10,Energy_label!$H$12&lt;30),1,340/Energy_label!$Q$17))/10)+10^(D$86/10))+D$5</f>
        <v>#NUM!</v>
      </c>
      <c r="E96" s="44" t="e">
        <f>10*LOG(10^((E$22-E$5-datablad!G11*IF(AND(Energy_label!$H$12&gt;-10,Energy_label!$H$12&lt;30),1,340/Energy_label!$Q$17))/10)+10^(E$86/10))+E$5</f>
        <v>#NUM!</v>
      </c>
      <c r="F96" s="44" t="e">
        <f>10*LOG(10^((F$22-F$5-datablad!H11*IF(AND(Energy_label!$H$12&gt;-10,Energy_label!$H$12&lt;30),1,340/Energy_label!$Q$17))/10)+10^(F$86/10))+F$5</f>
        <v>#NUM!</v>
      </c>
      <c r="G96" s="44" t="e">
        <f>10*LOG(10^((G$22-G$5-datablad!I11*IF(AND(Energy_label!$H$12&gt;-10,Energy_label!$H$12&lt;30),1,340/Energy_label!$Q$17))/10)+10^(G$86/10))+G$5</f>
        <v>#NUM!</v>
      </c>
      <c r="H96" s="44" t="e">
        <f>10*LOG(10^((H$22-H$5-datablad!J11*IF(AND(Energy_label!$H$12&gt;-10,Energy_label!$H$12&lt;30),1,340/Energy_label!$Q$17))/10)+10^(H$86/10))+H$5</f>
        <v>#NUM!</v>
      </c>
      <c r="I96" s="44" t="e">
        <f>10*LOG(10^((I$22-I$5-datablad!K11*IF(AND(Energy_label!$H$12&gt;-10,Energy_label!$H$12&lt;30),1,340/Energy_label!$Q$17))/10)+10^(I$86/10))+I$5</f>
        <v>#NUM!</v>
      </c>
      <c r="J96" s="44" t="e">
        <f>10*LOG(10^((J$22-J$5-datablad!L11*IF(AND(Energy_label!$H$12&gt;-10,Energy_label!$H$12&lt;30),1,340/Energy_label!$Q$17))/10)+10^(J$86/10))+J$5</f>
        <v>#NUM!</v>
      </c>
      <c r="K96" s="44" t="e">
        <f>10*LOG(10^((K$22-K$5-datablad!M11*IF(AND(Energy_label!$H$12&gt;-10,Energy_label!$H$12&lt;30),1,340/Energy_label!$Q$17))/10)+10^(K$86/10))+K$5</f>
        <v>#NUM!</v>
      </c>
      <c r="L96" s="44" t="e">
        <f>10*LOG(10^((L$22-L$5-datablad!N11*IF(AND(Energy_label!$H$12&gt;-10,Energy_label!$H$12&lt;30),1,340/Energy_label!$Q$17))/10)+10^(L$86/10))+L$5</f>
        <v>#NUM!</v>
      </c>
      <c r="M96" s="46" t="e">
        <f t="shared" si="14"/>
        <v>#NUM!</v>
      </c>
      <c r="N96" s="31" t="e">
        <f>IF(M96&lt;Energy_label!N$8,1,0)</f>
        <v>#NUM!</v>
      </c>
      <c r="O96" s="60" t="e">
        <f>0.5*Energy_label!$N$17*Energy_label!$G$17^2*O$25</f>
        <v>#NUM!</v>
      </c>
      <c r="P96" s="60" t="e">
        <f>0.5*Energy_label!$N$17*Energy_label!$G$17^2*P$5*B96/1000</f>
        <v>#NUM!</v>
      </c>
      <c r="Q96" s="60" t="e">
        <f>0.5*Energy_label!$N$17*Energy_label!$G$17^2*Q$25</f>
        <v>#NUM!</v>
      </c>
      <c r="R96" s="62" t="e">
        <f t="shared" si="15"/>
        <v>#NUM!</v>
      </c>
    </row>
    <row r="97" spans="1:18" x14ac:dyDescent="0.15">
      <c r="B97">
        <v>2750</v>
      </c>
      <c r="C97" s="44" t="e">
        <f>10*LOG(10^((C$22-C$5-datablad!E12*IF(AND(Energy_label!$H$12&gt;-10,Energy_label!$H$12&lt;30),1,340/Energy_label!$Q$17))/10)+10^(C$86/10))+C$5</f>
        <v>#NUM!</v>
      </c>
      <c r="D97" s="44" t="e">
        <f>10*LOG(10^((D$22-D$5-datablad!F12*IF(AND(Energy_label!$H$12&gt;-10,Energy_label!$H$12&lt;30),1,340/Energy_label!$Q$17))/10)+10^(D$86/10))+D$5</f>
        <v>#NUM!</v>
      </c>
      <c r="E97" s="44" t="e">
        <f>10*LOG(10^((E$22-E$5-datablad!G12*IF(AND(Energy_label!$H$12&gt;-10,Energy_label!$H$12&lt;30),1,340/Energy_label!$Q$17))/10)+10^(E$86/10))+E$5</f>
        <v>#NUM!</v>
      </c>
      <c r="F97" s="44" t="e">
        <f>10*LOG(10^((F$22-F$5-datablad!H12*IF(AND(Energy_label!$H$12&gt;-10,Energy_label!$H$12&lt;30),1,340/Energy_label!$Q$17))/10)+10^(F$86/10))+F$5</f>
        <v>#NUM!</v>
      </c>
      <c r="G97" s="44" t="e">
        <f>10*LOG(10^((G$22-G$5-datablad!I12*IF(AND(Energy_label!$H$12&gt;-10,Energy_label!$H$12&lt;30),1,340/Energy_label!$Q$17))/10)+10^(G$86/10))+G$5</f>
        <v>#NUM!</v>
      </c>
      <c r="H97" s="44" t="e">
        <f>10*LOG(10^((H$22-H$5-datablad!J12*IF(AND(Energy_label!$H$12&gt;-10,Energy_label!$H$12&lt;30),1,340/Energy_label!$Q$17))/10)+10^(H$86/10))+H$5</f>
        <v>#NUM!</v>
      </c>
      <c r="I97" s="44" t="e">
        <f>10*LOG(10^((I$22-I$5-datablad!K12*IF(AND(Energy_label!$H$12&gt;-10,Energy_label!$H$12&lt;30),1,340/Energy_label!$Q$17))/10)+10^(I$86/10))+I$5</f>
        <v>#NUM!</v>
      </c>
      <c r="J97" s="44" t="e">
        <f>10*LOG(10^((J$22-J$5-datablad!L12*IF(AND(Energy_label!$H$12&gt;-10,Energy_label!$H$12&lt;30),1,340/Energy_label!$Q$17))/10)+10^(J$86/10))+J$5</f>
        <v>#NUM!</v>
      </c>
      <c r="K97" s="44" t="e">
        <f>10*LOG(10^((K$22-K$5-datablad!M12*IF(AND(Energy_label!$H$12&gt;-10,Energy_label!$H$12&lt;30),1,340/Energy_label!$Q$17))/10)+10^(K$86/10))+K$5</f>
        <v>#NUM!</v>
      </c>
      <c r="L97" s="44" t="e">
        <f>10*LOG(10^((L$22-L$5-datablad!N12*IF(AND(Energy_label!$H$12&gt;-10,Energy_label!$H$12&lt;30),1,340/Energy_label!$Q$17))/10)+10^(L$86/10))+L$5</f>
        <v>#NUM!</v>
      </c>
      <c r="M97" s="46" t="e">
        <f t="shared" si="14"/>
        <v>#NUM!</v>
      </c>
      <c r="N97" s="31" t="e">
        <f>IF(M97&lt;Energy_label!N$8,1,0)</f>
        <v>#NUM!</v>
      </c>
      <c r="O97" s="60" t="e">
        <f>0.5*Energy_label!$N$17*Energy_label!$G$17^2*O$25</f>
        <v>#NUM!</v>
      </c>
      <c r="P97" s="60" t="e">
        <f>0.5*Energy_label!$N$17*Energy_label!$G$17^2*P$5*B97/1000</f>
        <v>#NUM!</v>
      </c>
      <c r="Q97" s="60" t="e">
        <f>0.5*Energy_label!$N$17*Energy_label!$G$17^2*Q$25</f>
        <v>#NUM!</v>
      </c>
      <c r="R97" s="62" t="e">
        <f t="shared" si="15"/>
        <v>#NUM!</v>
      </c>
    </row>
    <row r="98" spans="1:18" x14ac:dyDescent="0.15">
      <c r="B98">
        <v>3000</v>
      </c>
      <c r="C98" s="44" t="e">
        <f>10*LOG(10^((C$22-C$5-datablad!E13*IF(AND(Energy_label!$H$12&gt;-10,Energy_label!$H$12&lt;30),1,340/Energy_label!$Q$17))/10)+10^(C$86/10))+C$5</f>
        <v>#NUM!</v>
      </c>
      <c r="D98" s="44" t="e">
        <f>10*LOG(10^((D$22-D$5-datablad!F13*IF(AND(Energy_label!$H$12&gt;-10,Energy_label!$H$12&lt;30),1,340/Energy_label!$Q$17))/10)+10^(D$86/10))+D$5</f>
        <v>#NUM!</v>
      </c>
      <c r="E98" s="44" t="e">
        <f>10*LOG(10^((E$22-E$5-datablad!G13*IF(AND(Energy_label!$H$12&gt;-10,Energy_label!$H$12&lt;30),1,340/Energy_label!$Q$17))/10)+10^(E$86/10))+E$5</f>
        <v>#NUM!</v>
      </c>
      <c r="F98" s="44" t="e">
        <f>10*LOG(10^((F$22-F$5-datablad!H13*IF(AND(Energy_label!$H$12&gt;-10,Energy_label!$H$12&lt;30),1,340/Energy_label!$Q$17))/10)+10^(F$86/10))+F$5</f>
        <v>#NUM!</v>
      </c>
      <c r="G98" s="44" t="e">
        <f>10*LOG(10^((G$22-G$5-datablad!I13*IF(AND(Energy_label!$H$12&gt;-10,Energy_label!$H$12&lt;30),1,340/Energy_label!$Q$17))/10)+10^(G$86/10))+G$5</f>
        <v>#NUM!</v>
      </c>
      <c r="H98" s="44" t="e">
        <f>10*LOG(10^((H$22-H$5-datablad!J13*IF(AND(Energy_label!$H$12&gt;-10,Energy_label!$H$12&lt;30),1,340/Energy_label!$Q$17))/10)+10^(H$86/10))+H$5</f>
        <v>#NUM!</v>
      </c>
      <c r="I98" s="44" t="e">
        <f>10*LOG(10^((I$22-I$5-datablad!K13*IF(AND(Energy_label!$H$12&gt;-10,Energy_label!$H$12&lt;30),1,340/Energy_label!$Q$17))/10)+10^(I$86/10))+I$5</f>
        <v>#NUM!</v>
      </c>
      <c r="J98" s="44" t="e">
        <f>10*LOG(10^((J$22-J$5-datablad!L13*IF(AND(Energy_label!$H$12&gt;-10,Energy_label!$H$12&lt;30),1,340/Energy_label!$Q$17))/10)+10^(J$86/10))+J$5</f>
        <v>#NUM!</v>
      </c>
      <c r="K98" s="44" t="e">
        <f>10*LOG(10^((K$22-K$5-datablad!M13*IF(AND(Energy_label!$H$12&gt;-10,Energy_label!$H$12&lt;30),1,340/Energy_label!$Q$17))/10)+10^(K$86/10))+K$5</f>
        <v>#NUM!</v>
      </c>
      <c r="L98" s="44" t="e">
        <f>10*LOG(10^((L$22-L$5-datablad!N13*IF(AND(Energy_label!$H$12&gt;-10,Energy_label!$H$12&lt;30),1,340/Energy_label!$Q$17))/10)+10^(L$86/10))+L$5</f>
        <v>#NUM!</v>
      </c>
      <c r="M98" s="46" t="e">
        <f t="shared" si="14"/>
        <v>#NUM!</v>
      </c>
      <c r="N98" s="31" t="e">
        <f>IF(M98&lt;Energy_label!N$8,1,0)</f>
        <v>#NUM!</v>
      </c>
      <c r="O98" s="60" t="e">
        <f>0.5*Energy_label!$N$17*Energy_label!$G$17^2*O$25</f>
        <v>#NUM!</v>
      </c>
      <c r="P98" s="60" t="e">
        <f>0.5*Energy_label!$N$17*Energy_label!$G$17^2*P$5*B98/1000</f>
        <v>#NUM!</v>
      </c>
      <c r="Q98" s="60" t="e">
        <f>0.5*Energy_label!$N$17*Energy_label!$G$17^2*Q$25</f>
        <v>#NUM!</v>
      </c>
      <c r="R98" s="62" t="e">
        <f t="shared" si="15"/>
        <v>#NUM!</v>
      </c>
    </row>
    <row r="99" spans="1:18" x14ac:dyDescent="0.15">
      <c r="B99">
        <v>3250</v>
      </c>
      <c r="C99" s="44" t="e">
        <f>10*LOG(10^((C$22-C$5-datablad!E14*IF(AND(Energy_label!$H$12&gt;-10,Energy_label!$H$12&lt;30),1,340/Energy_label!$Q$17))/10)+10^(C$86/10))+C$5</f>
        <v>#NUM!</v>
      </c>
      <c r="D99" s="44" t="e">
        <f>10*LOG(10^((D$22-D$5-datablad!F14*IF(AND(Energy_label!$H$12&gt;-10,Energy_label!$H$12&lt;30),1,340/Energy_label!$Q$17))/10)+10^(D$86/10))+D$5</f>
        <v>#NUM!</v>
      </c>
      <c r="E99" s="44" t="e">
        <f>10*LOG(10^((E$22-E$5-datablad!G14*IF(AND(Energy_label!$H$12&gt;-10,Energy_label!$H$12&lt;30),1,340/Energy_label!$Q$17))/10)+10^(E$86/10))+E$5</f>
        <v>#NUM!</v>
      </c>
      <c r="F99" s="44" t="e">
        <f>10*LOG(10^((F$22-F$5-datablad!H14*IF(AND(Energy_label!$H$12&gt;-10,Energy_label!$H$12&lt;30),1,340/Energy_label!$Q$17))/10)+10^(F$86/10))+F$5</f>
        <v>#NUM!</v>
      </c>
      <c r="G99" s="44" t="e">
        <f>10*LOG(10^((G$22-G$5-datablad!I14*IF(AND(Energy_label!$H$12&gt;-10,Energy_label!$H$12&lt;30),1,340/Energy_label!$Q$17))/10)+10^(G$86/10))+G$5</f>
        <v>#NUM!</v>
      </c>
      <c r="H99" s="44" t="e">
        <f>10*LOG(10^((H$22-H$5-datablad!J14*IF(AND(Energy_label!$H$12&gt;-10,Energy_label!$H$12&lt;30),1,340/Energy_label!$Q$17))/10)+10^(H$86/10))+H$5</f>
        <v>#NUM!</v>
      </c>
      <c r="I99" s="44" t="e">
        <f>10*LOG(10^((I$22-I$5-datablad!K14*IF(AND(Energy_label!$H$12&gt;-10,Energy_label!$H$12&lt;30),1,340/Energy_label!$Q$17))/10)+10^(I$86/10))+I$5</f>
        <v>#NUM!</v>
      </c>
      <c r="J99" s="44" t="e">
        <f>10*LOG(10^((J$22-J$5-datablad!L14*IF(AND(Energy_label!$H$12&gt;-10,Energy_label!$H$12&lt;30),1,340/Energy_label!$Q$17))/10)+10^(J$86/10))+J$5</f>
        <v>#NUM!</v>
      </c>
      <c r="K99" s="44" t="e">
        <f>10*LOG(10^((K$22-K$5-datablad!M14*IF(AND(Energy_label!$H$12&gt;-10,Energy_label!$H$12&lt;30),1,340/Energy_label!$Q$17))/10)+10^(K$86/10))+K$5</f>
        <v>#NUM!</v>
      </c>
      <c r="L99" s="44" t="e">
        <f>10*LOG(10^((L$22-L$5-datablad!N14*IF(AND(Energy_label!$H$12&gt;-10,Energy_label!$H$12&lt;30),1,340/Energy_label!$Q$17))/10)+10^(L$86/10))+L$5</f>
        <v>#NUM!</v>
      </c>
      <c r="M99" s="46" t="e">
        <f t="shared" si="14"/>
        <v>#NUM!</v>
      </c>
      <c r="N99" s="31" t="e">
        <f>IF(M99&lt;Energy_label!N$8,1,0)</f>
        <v>#NUM!</v>
      </c>
      <c r="O99" s="60" t="e">
        <f>0.5*Energy_label!$N$17*Energy_label!$G$17^2*O$25</f>
        <v>#NUM!</v>
      </c>
      <c r="P99" s="60" t="e">
        <f>0.5*Energy_label!$N$17*Energy_label!$G$17^2*P$5*B99/1000</f>
        <v>#NUM!</v>
      </c>
      <c r="Q99" s="60" t="e">
        <f>0.5*Energy_label!$N$17*Energy_label!$G$17^2*Q$25</f>
        <v>#NUM!</v>
      </c>
      <c r="R99" s="62" t="e">
        <f t="shared" si="15"/>
        <v>#NUM!</v>
      </c>
    </row>
    <row r="100" spans="1:18" x14ac:dyDescent="0.15">
      <c r="B100">
        <v>3500</v>
      </c>
      <c r="C100" s="44" t="e">
        <f>10*LOG(10^((C$22-C$5-datablad!E15*IF(AND(Energy_label!$H$12&gt;-10,Energy_label!$H$12&lt;30),1,340/Energy_label!$Q$17))/10)+10^(C$86/10))+C$5</f>
        <v>#NUM!</v>
      </c>
      <c r="D100" s="44" t="e">
        <f>10*LOG(10^((D$22-D$5-datablad!F15*IF(AND(Energy_label!$H$12&gt;-10,Energy_label!$H$12&lt;30),1,340/Energy_label!$Q$17))/10)+10^(D$86/10))+D$5</f>
        <v>#NUM!</v>
      </c>
      <c r="E100" s="44" t="e">
        <f>10*LOG(10^((E$22-E$5-datablad!G15*IF(AND(Energy_label!$H$12&gt;-10,Energy_label!$H$12&lt;30),1,340/Energy_label!$Q$17))/10)+10^(E$86/10))+E$5</f>
        <v>#NUM!</v>
      </c>
      <c r="F100" s="44" t="e">
        <f>10*LOG(10^((F$22-F$5-datablad!H15*IF(AND(Energy_label!$H$12&gt;-10,Energy_label!$H$12&lt;30),1,340/Energy_label!$Q$17))/10)+10^(F$86/10))+F$5</f>
        <v>#NUM!</v>
      </c>
      <c r="G100" s="44" t="e">
        <f>10*LOG(10^((G$22-G$5-datablad!I15*IF(AND(Energy_label!$H$12&gt;-10,Energy_label!$H$12&lt;30),1,340/Energy_label!$Q$17))/10)+10^(G$86/10))+G$5</f>
        <v>#NUM!</v>
      </c>
      <c r="H100" s="44" t="e">
        <f>10*LOG(10^((H$22-H$5-datablad!J15*IF(AND(Energy_label!$H$12&gt;-10,Energy_label!$H$12&lt;30),1,340/Energy_label!$Q$17))/10)+10^(H$86/10))+H$5</f>
        <v>#NUM!</v>
      </c>
      <c r="I100" s="44" t="e">
        <f>10*LOG(10^((I$22-I$5-datablad!K15*IF(AND(Energy_label!$H$12&gt;-10,Energy_label!$H$12&lt;30),1,340/Energy_label!$Q$17))/10)+10^(I$86/10))+I$5</f>
        <v>#NUM!</v>
      </c>
      <c r="J100" s="44" t="e">
        <f>10*LOG(10^((J$22-J$5-datablad!L15*IF(AND(Energy_label!$H$12&gt;-10,Energy_label!$H$12&lt;30),1,340/Energy_label!$Q$17))/10)+10^(J$86/10))+J$5</f>
        <v>#NUM!</v>
      </c>
      <c r="K100" s="44" t="e">
        <f>10*LOG(10^((K$22-K$5-datablad!M15*IF(AND(Energy_label!$H$12&gt;-10,Energy_label!$H$12&lt;30),1,340/Energy_label!$Q$17))/10)+10^(K$86/10))+K$5</f>
        <v>#NUM!</v>
      </c>
      <c r="L100" s="44" t="e">
        <f>10*LOG(10^((L$22-L$5-datablad!N15*IF(AND(Energy_label!$H$12&gt;-10,Energy_label!$H$12&lt;30),1,340/Energy_label!$Q$17))/10)+10^(L$86/10))+L$5</f>
        <v>#NUM!</v>
      </c>
      <c r="M100" s="46" t="e">
        <f t="shared" si="14"/>
        <v>#NUM!</v>
      </c>
      <c r="N100" s="31" t="e">
        <f>IF(M100&lt;Energy_label!N$8,1,0)</f>
        <v>#NUM!</v>
      </c>
      <c r="O100" s="60" t="e">
        <f>0.5*Energy_label!$N$17*Energy_label!$G$17^2*O$25</f>
        <v>#NUM!</v>
      </c>
      <c r="P100" s="60" t="e">
        <f>0.5*Energy_label!$N$17*Energy_label!$G$17^2*P$5*B100/1000</f>
        <v>#NUM!</v>
      </c>
      <c r="Q100" s="60" t="e">
        <f>0.5*Energy_label!$N$17*Energy_label!$G$17^2*Q$25</f>
        <v>#NUM!</v>
      </c>
      <c r="R100" s="62" t="e">
        <f t="shared" si="15"/>
        <v>#NUM!</v>
      </c>
    </row>
    <row r="101" spans="1:18" x14ac:dyDescent="0.15">
      <c r="B101">
        <v>3750</v>
      </c>
      <c r="C101" s="44" t="e">
        <f>10*LOG(10^((C$22-C$5-datablad!E16*IF(AND(Energy_label!$H$12&gt;-10,Energy_label!$H$12&lt;30),1,340/Energy_label!$Q$17))/10)+10^(C$86/10))+C$5</f>
        <v>#NUM!</v>
      </c>
      <c r="D101" s="44" t="e">
        <f>10*LOG(10^((D$22-D$5-datablad!F16*IF(AND(Energy_label!$H$12&gt;-10,Energy_label!$H$12&lt;30),1,340/Energy_label!$Q$17))/10)+10^(D$86/10))+D$5</f>
        <v>#NUM!</v>
      </c>
      <c r="E101" s="44" t="e">
        <f>10*LOG(10^((E$22-E$5-datablad!G16*IF(AND(Energy_label!$H$12&gt;-10,Energy_label!$H$12&lt;30),1,340/Energy_label!$Q$17))/10)+10^(E$86/10))+E$5</f>
        <v>#NUM!</v>
      </c>
      <c r="F101" s="44" t="e">
        <f>10*LOG(10^((F$22-F$5-datablad!H16*IF(AND(Energy_label!$H$12&gt;-10,Energy_label!$H$12&lt;30),1,340/Energy_label!$Q$17))/10)+10^(F$86/10))+F$5</f>
        <v>#NUM!</v>
      </c>
      <c r="G101" s="44" t="e">
        <f>10*LOG(10^((G$22-G$5-datablad!I16*IF(AND(Energy_label!$H$12&gt;-10,Energy_label!$H$12&lt;30),1,340/Energy_label!$Q$17))/10)+10^(G$86/10))+G$5</f>
        <v>#NUM!</v>
      </c>
      <c r="H101" s="44" t="e">
        <f>10*LOG(10^((H$22-H$5-datablad!J16*IF(AND(Energy_label!$H$12&gt;-10,Energy_label!$H$12&lt;30),1,340/Energy_label!$Q$17))/10)+10^(H$86/10))+H$5</f>
        <v>#NUM!</v>
      </c>
      <c r="I101" s="44" t="e">
        <f>10*LOG(10^((I$22-I$5-datablad!K16*IF(AND(Energy_label!$H$12&gt;-10,Energy_label!$H$12&lt;30),1,340/Energy_label!$Q$17))/10)+10^(I$86/10))+I$5</f>
        <v>#NUM!</v>
      </c>
      <c r="J101" s="44" t="e">
        <f>10*LOG(10^((J$22-J$5-datablad!L16*IF(AND(Energy_label!$H$12&gt;-10,Energy_label!$H$12&lt;30),1,340/Energy_label!$Q$17))/10)+10^(J$86/10))+J$5</f>
        <v>#NUM!</v>
      </c>
      <c r="K101" s="44" t="e">
        <f>10*LOG(10^((K$22-K$5-datablad!M16*IF(AND(Energy_label!$H$12&gt;-10,Energy_label!$H$12&lt;30),1,340/Energy_label!$Q$17))/10)+10^(K$86/10))+K$5</f>
        <v>#NUM!</v>
      </c>
      <c r="L101" s="44" t="e">
        <f>10*LOG(10^((L$22-L$5-datablad!N16*IF(AND(Energy_label!$H$12&gt;-10,Energy_label!$H$12&lt;30),1,340/Energy_label!$Q$17))/10)+10^(L$86/10))+L$5</f>
        <v>#NUM!</v>
      </c>
      <c r="M101" s="46" t="e">
        <f t="shared" si="14"/>
        <v>#NUM!</v>
      </c>
      <c r="N101" s="31" t="e">
        <f>IF(M101&lt;Energy_label!N$8,1,0)</f>
        <v>#NUM!</v>
      </c>
      <c r="O101" s="60" t="e">
        <f>0.5*Energy_label!$N$17*Energy_label!$G$17^2*O$25</f>
        <v>#NUM!</v>
      </c>
      <c r="P101" s="60" t="e">
        <f>0.5*Energy_label!$N$17*Energy_label!$G$17^2*P$5*B101/1000</f>
        <v>#NUM!</v>
      </c>
      <c r="Q101" s="60" t="e">
        <f>0.5*Energy_label!$N$17*Energy_label!$G$17^2*Q$25</f>
        <v>#NUM!</v>
      </c>
      <c r="R101" s="62" t="e">
        <f t="shared" si="15"/>
        <v>#NUM!</v>
      </c>
    </row>
    <row r="102" spans="1:18" x14ac:dyDescent="0.15">
      <c r="B102">
        <v>4000</v>
      </c>
      <c r="C102" s="44" t="e">
        <f>10*LOG(10^((C$22-C$5-datablad!E17*IF(AND(Energy_label!$H$12&gt;-10,Energy_label!$H$12&lt;30),1,340/Energy_label!$Q$17))/10)+10^(C$86/10))+C$5</f>
        <v>#NUM!</v>
      </c>
      <c r="D102" s="44" t="e">
        <f>10*LOG(10^((D$22-D$5-datablad!F17*IF(AND(Energy_label!$H$12&gt;-10,Energy_label!$H$12&lt;30),1,340/Energy_label!$Q$17))/10)+10^(D$86/10))+D$5</f>
        <v>#NUM!</v>
      </c>
      <c r="E102" s="44" t="e">
        <f>10*LOG(10^((E$22-E$5-datablad!G17*IF(AND(Energy_label!$H$12&gt;-10,Energy_label!$H$12&lt;30),1,340/Energy_label!$Q$17))/10)+10^(E$86/10))+E$5</f>
        <v>#NUM!</v>
      </c>
      <c r="F102" s="44" t="e">
        <f>10*LOG(10^((F$22-F$5-datablad!H17*IF(AND(Energy_label!$H$12&gt;-10,Energy_label!$H$12&lt;30),1,340/Energy_label!$Q$17))/10)+10^(F$86/10))+F$5</f>
        <v>#NUM!</v>
      </c>
      <c r="G102" s="44" t="e">
        <f>10*LOG(10^((G$22-G$5-datablad!I17*IF(AND(Energy_label!$H$12&gt;-10,Energy_label!$H$12&lt;30),1,340/Energy_label!$Q$17))/10)+10^(G$86/10))+G$5</f>
        <v>#NUM!</v>
      </c>
      <c r="H102" s="44" t="e">
        <f>10*LOG(10^((H$22-H$5-datablad!J17*IF(AND(Energy_label!$H$12&gt;-10,Energy_label!$H$12&lt;30),1,340/Energy_label!$Q$17))/10)+10^(H$86/10))+H$5</f>
        <v>#NUM!</v>
      </c>
      <c r="I102" s="44" t="e">
        <f>10*LOG(10^((I$22-I$5-datablad!K17*IF(AND(Energy_label!$H$12&gt;-10,Energy_label!$H$12&lt;30),1,340/Energy_label!$Q$17))/10)+10^(I$86/10))+I$5</f>
        <v>#NUM!</v>
      </c>
      <c r="J102" s="44" t="e">
        <f>10*LOG(10^((J$22-J$5-datablad!L17*IF(AND(Energy_label!$H$12&gt;-10,Energy_label!$H$12&lt;30),1,340/Energy_label!$Q$17))/10)+10^(J$86/10))+J$5</f>
        <v>#NUM!</v>
      </c>
      <c r="K102" s="44" t="e">
        <f>10*LOG(10^((K$22-K$5-datablad!M17*IF(AND(Energy_label!$H$12&gt;-10,Energy_label!$H$12&lt;30),1,340/Energy_label!$Q$17))/10)+10^(K$86/10))+K$5</f>
        <v>#NUM!</v>
      </c>
      <c r="L102" s="44" t="e">
        <f>10*LOG(10^((L$22-L$5-datablad!N17*IF(AND(Energy_label!$H$12&gt;-10,Energy_label!$H$12&lt;30),1,340/Energy_label!$Q$17))/10)+10^(L$86/10))+L$5</f>
        <v>#NUM!</v>
      </c>
      <c r="M102" s="46" t="e">
        <f t="shared" si="14"/>
        <v>#NUM!</v>
      </c>
      <c r="N102" s="31" t="e">
        <f>IF(M102&lt;Energy_label!N$8,1,0)</f>
        <v>#NUM!</v>
      </c>
      <c r="O102" s="60" t="e">
        <f>0.5*Energy_label!$N$17*Energy_label!$G$17^2*O$25</f>
        <v>#NUM!</v>
      </c>
      <c r="P102" s="60" t="e">
        <f>0.5*Energy_label!$N$17*Energy_label!$G$17^2*P$5*B102/1000</f>
        <v>#NUM!</v>
      </c>
      <c r="Q102" s="60" t="e">
        <f>0.5*Energy_label!$N$17*Energy_label!$G$17^2*Q$25</f>
        <v>#NUM!</v>
      </c>
      <c r="R102" s="62" t="e">
        <f t="shared" si="15"/>
        <v>#NUM!</v>
      </c>
    </row>
    <row r="103" spans="1:18" x14ac:dyDescent="0.15">
      <c r="B103">
        <v>4250</v>
      </c>
      <c r="C103" s="44" t="e">
        <f>10*LOG(10^((C$22-C$5-datablad!E18*IF(AND(Energy_label!$H$12&gt;-10,Energy_label!$H$12&lt;30),1,340/Energy_label!$Q$17))/10)+10^(C$86/10))+C$5</f>
        <v>#NUM!</v>
      </c>
      <c r="D103" s="44" t="e">
        <f>10*LOG(10^((D$22-D$5-datablad!F18*IF(AND(Energy_label!$H$12&gt;-10,Energy_label!$H$12&lt;30),1,340/Energy_label!$Q$17))/10)+10^(D$86/10))+D$5</f>
        <v>#NUM!</v>
      </c>
      <c r="E103" s="44" t="e">
        <f>10*LOG(10^((E$22-E$5-datablad!G18*IF(AND(Energy_label!$H$12&gt;-10,Energy_label!$H$12&lt;30),1,340/Energy_label!$Q$17))/10)+10^(E$86/10))+E$5</f>
        <v>#NUM!</v>
      </c>
      <c r="F103" s="44" t="e">
        <f>10*LOG(10^((F$22-F$5-datablad!H18*IF(AND(Energy_label!$H$12&gt;-10,Energy_label!$H$12&lt;30),1,340/Energy_label!$Q$17))/10)+10^(F$86/10))+F$5</f>
        <v>#NUM!</v>
      </c>
      <c r="G103" s="44" t="e">
        <f>10*LOG(10^((G$22-G$5-datablad!I18*IF(AND(Energy_label!$H$12&gt;-10,Energy_label!$H$12&lt;30),1,340/Energy_label!$Q$17))/10)+10^(G$86/10))+G$5</f>
        <v>#NUM!</v>
      </c>
      <c r="H103" s="44" t="e">
        <f>10*LOG(10^((H$22-H$5-datablad!J18*IF(AND(Energy_label!$H$12&gt;-10,Energy_label!$H$12&lt;30),1,340/Energy_label!$Q$17))/10)+10^(H$86/10))+H$5</f>
        <v>#NUM!</v>
      </c>
      <c r="I103" s="44" t="e">
        <f>10*LOG(10^((I$22-I$5-datablad!K18*IF(AND(Energy_label!$H$12&gt;-10,Energy_label!$H$12&lt;30),1,340/Energy_label!$Q$17))/10)+10^(I$86/10))+I$5</f>
        <v>#NUM!</v>
      </c>
      <c r="J103" s="44" t="e">
        <f>10*LOG(10^((J$22-J$5-datablad!L18*IF(AND(Energy_label!$H$12&gt;-10,Energy_label!$H$12&lt;30),1,340/Energy_label!$Q$17))/10)+10^(J$86/10))+J$5</f>
        <v>#NUM!</v>
      </c>
      <c r="K103" s="44" t="e">
        <f>10*LOG(10^((K$22-K$5-datablad!M18*IF(AND(Energy_label!$H$12&gt;-10,Energy_label!$H$12&lt;30),1,340/Energy_label!$Q$17))/10)+10^(K$86/10))+K$5</f>
        <v>#NUM!</v>
      </c>
      <c r="L103" s="44" t="e">
        <f>10*LOG(10^((L$22-L$5-datablad!N18*IF(AND(Energy_label!$H$12&gt;-10,Energy_label!$H$12&lt;30),1,340/Energy_label!$Q$17))/10)+10^(L$86/10))+L$5</f>
        <v>#NUM!</v>
      </c>
      <c r="M103" s="46" t="e">
        <f t="shared" si="14"/>
        <v>#NUM!</v>
      </c>
      <c r="N103" s="31" t="e">
        <f>IF(M103&lt;Energy_label!N$8,1,0)</f>
        <v>#NUM!</v>
      </c>
      <c r="O103" s="60" t="e">
        <f>0.5*Energy_label!$N$17*Energy_label!$G$17^2*O$25</f>
        <v>#NUM!</v>
      </c>
      <c r="P103" s="60" t="e">
        <f>0.5*Energy_label!$N$17*Energy_label!$G$17^2*P$5*B103/1000</f>
        <v>#NUM!</v>
      </c>
      <c r="Q103" s="60" t="e">
        <f>0.5*Energy_label!$N$17*Energy_label!$G$17^2*Q$25</f>
        <v>#NUM!</v>
      </c>
      <c r="R103" s="62" t="e">
        <f t="shared" si="15"/>
        <v>#NUM!</v>
      </c>
    </row>
    <row r="104" spans="1:18" ht="12" thickBot="1" x14ac:dyDescent="0.2">
      <c r="B104">
        <v>4500</v>
      </c>
      <c r="C104" s="44" t="e">
        <f>10*LOG(10^((C$22-C$5-datablad!E19*IF(AND(Energy_label!$H$12&gt;-10,Energy_label!$H$12&lt;30),1,340/Energy_label!$Q$17))/10)+10^(C$86/10))+C$5</f>
        <v>#NUM!</v>
      </c>
      <c r="D104" s="44" t="e">
        <f>10*LOG(10^((D$22-D$5-datablad!F19*IF(AND(Energy_label!$H$12&gt;-10,Energy_label!$H$12&lt;30),1,340/Energy_label!$Q$17))/10)+10^(D$86/10))+D$5</f>
        <v>#NUM!</v>
      </c>
      <c r="E104" s="44" t="e">
        <f>10*LOG(10^((E$22-E$5-datablad!G19*IF(AND(Energy_label!$H$12&gt;-10,Energy_label!$H$12&lt;30),1,340/Energy_label!$Q$17))/10)+10^(E$86/10))+E$5</f>
        <v>#NUM!</v>
      </c>
      <c r="F104" s="44" t="e">
        <f>10*LOG(10^((F$22-F$5-datablad!H19*IF(AND(Energy_label!$H$12&gt;-10,Energy_label!$H$12&lt;30),1,340/Energy_label!$Q$17))/10)+10^(F$86/10))+F$5</f>
        <v>#NUM!</v>
      </c>
      <c r="G104" s="44" t="e">
        <f>10*LOG(10^((G$22-G$5-datablad!I19*IF(AND(Energy_label!$H$12&gt;-10,Energy_label!$H$12&lt;30),1,340/Energy_label!$Q$17))/10)+10^(G$86/10))+G$5</f>
        <v>#NUM!</v>
      </c>
      <c r="H104" s="44" t="e">
        <f>10*LOG(10^((H$22-H$5-datablad!J19*IF(AND(Energy_label!$H$12&gt;-10,Energy_label!$H$12&lt;30),1,340/Energy_label!$Q$17))/10)+10^(H$86/10))+H$5</f>
        <v>#NUM!</v>
      </c>
      <c r="I104" s="44" t="e">
        <f>10*LOG(10^((I$22-I$5-datablad!K19*IF(AND(Energy_label!$H$12&gt;-10,Energy_label!$H$12&lt;30),1,340/Energy_label!$Q$17))/10)+10^(I$86/10))+I$5</f>
        <v>#NUM!</v>
      </c>
      <c r="J104" s="44" t="e">
        <f>10*LOG(10^((J$22-J$5-datablad!L19*IF(AND(Energy_label!$H$12&gt;-10,Energy_label!$H$12&lt;30),1,340/Energy_label!$Q$17))/10)+10^(J$86/10))+J$5</f>
        <v>#NUM!</v>
      </c>
      <c r="K104" s="44" t="e">
        <f>10*LOG(10^((K$22-K$5-datablad!M19*IF(AND(Energy_label!$H$12&gt;-10,Energy_label!$H$12&lt;30),1,340/Energy_label!$Q$17))/10)+10^(K$86/10))+K$5</f>
        <v>#NUM!</v>
      </c>
      <c r="L104" s="44" t="e">
        <f>10*LOG(10^((L$22-L$5-datablad!N19*IF(AND(Energy_label!$H$12&gt;-10,Energy_label!$H$12&lt;30),1,340/Energy_label!$Q$17))/10)+10^(L$86/10))+L$5</f>
        <v>#NUM!</v>
      </c>
      <c r="M104" s="47" t="e">
        <f t="shared" si="14"/>
        <v>#NUM!</v>
      </c>
      <c r="N104" s="31" t="e">
        <f>IF(M104&lt;Energy_label!N$8,1,0)</f>
        <v>#NUM!</v>
      </c>
      <c r="O104" s="60" t="e">
        <f>0.5*Energy_label!$N$17*Energy_label!$G$17^2*O$25</f>
        <v>#NUM!</v>
      </c>
      <c r="P104" s="60" t="e">
        <f>0.5*Energy_label!$N$17*Energy_label!$G$17^2*P$5*B104/1000</f>
        <v>#NUM!</v>
      </c>
      <c r="Q104" s="60" t="e">
        <f>0.5*Energy_label!$N$17*Energy_label!$G$17^2*Q$25</f>
        <v>#NUM!</v>
      </c>
      <c r="R104" s="63" t="e">
        <f>R108</f>
        <v>#NUM!</v>
      </c>
    </row>
    <row r="105" spans="1:18" x14ac:dyDescent="0.15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</row>
    <row r="106" spans="1:18" x14ac:dyDescent="0.15">
      <c r="C106" s="31" t="e">
        <f t="shared" ref="C106:K106" si="16">-0.55*(LOG(C1/$V$72)*3.33-1.65)^2+0.8*(LOG(C1/$V$72)*3.33-1.65)-6+$M106+C3</f>
        <v>#NUM!</v>
      </c>
      <c r="D106" s="31" t="e">
        <f t="shared" si="16"/>
        <v>#NUM!</v>
      </c>
      <c r="E106" s="31" t="e">
        <f t="shared" si="16"/>
        <v>#NUM!</v>
      </c>
      <c r="F106" s="31" t="e">
        <f t="shared" si="16"/>
        <v>#NUM!</v>
      </c>
      <c r="G106" s="31" t="e">
        <f t="shared" si="16"/>
        <v>#NUM!</v>
      </c>
      <c r="H106" s="31" t="e">
        <f t="shared" si="16"/>
        <v>#NUM!</v>
      </c>
      <c r="I106" s="31" t="e">
        <f t="shared" si="16"/>
        <v>#NUM!</v>
      </c>
      <c r="J106" s="31" t="e">
        <f t="shared" si="16"/>
        <v>#NUM!</v>
      </c>
      <c r="K106" s="31" t="e">
        <f t="shared" si="16"/>
        <v>#NUM!</v>
      </c>
      <c r="L106" s="31" t="e">
        <f>-0.55*(LOG(L1/$V$72)*3.33-1.65)^2+0.8*(LOG(L1/$V$72)*3.33-1.65)-6+$M106+L3</f>
        <v>#NUM!</v>
      </c>
      <c r="M106" s="31" t="e">
        <f>7+50*LOG(V72)+10*LOG(Energy_label!I17)</f>
        <v>#NUM!</v>
      </c>
      <c r="N106" s="31"/>
      <c r="O106" s="31"/>
      <c r="P106" s="31"/>
      <c r="Q106" s="31"/>
      <c r="R106" s="31"/>
    </row>
    <row r="107" spans="1:18" ht="12" thickBot="1" x14ac:dyDescent="0.2"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</row>
    <row r="108" spans="1:18" x14ac:dyDescent="0.15">
      <c r="A108" t="s">
        <v>58</v>
      </c>
      <c r="B108">
        <v>500</v>
      </c>
      <c r="C108" s="44" t="e">
        <f>10*LOG(10^((C$104-C$5-datablad!E3*IF(AND(Energy_label!$H$12&gt;-10,Energy_label!$H$12&lt;30),1,340/Energy_label!$Q$17))/10)+10^(C$106/10))+C$5</f>
        <v>#NUM!</v>
      </c>
      <c r="D108" s="44" t="e">
        <f>10*LOG(10^((D$104-D$5-datablad!F3*IF(AND(Energy_label!$H$12&gt;-10,Energy_label!$H$12&lt;30),1,340/Energy_label!$Q$17))/10)+10^(D$106/10))+D$5</f>
        <v>#NUM!</v>
      </c>
      <c r="E108" s="44" t="e">
        <f>10*LOG(10^((E$104-E$5-datablad!G3*IF(AND(Energy_label!$H$12&gt;-10,Energy_label!$H$12&lt;30),1,340/Energy_label!$Q$17))/10)+10^(E$106/10))+E$5</f>
        <v>#NUM!</v>
      </c>
      <c r="F108" s="44" t="e">
        <f>10*LOG(10^((F$104-F$5-datablad!H3*IF(AND(Energy_label!$H$12&gt;-10,Energy_label!$H$12&lt;30),1,340/Energy_label!$Q$17))/10)+10^(F$106/10))+F$5</f>
        <v>#NUM!</v>
      </c>
      <c r="G108" s="44" t="e">
        <f>10*LOG(10^((G$104-G$5-datablad!I3*IF(AND(Energy_label!$H$12&gt;-10,Energy_label!$H$12&lt;30),1,340/Energy_label!$Q$17))/10)+10^(G$106/10))+G$5</f>
        <v>#NUM!</v>
      </c>
      <c r="H108" s="44" t="e">
        <f>10*LOG(10^((H$104-H$5-datablad!J3*IF(AND(Energy_label!$H$12&gt;-10,Energy_label!$H$12&lt;30),1,340/Energy_label!$Q$17))/10)+10^(H$106/10))+H$5</f>
        <v>#NUM!</v>
      </c>
      <c r="I108" s="44" t="e">
        <f>10*LOG(10^((I$104-I$5-datablad!K3*IF(AND(Energy_label!$H$12&gt;-10,Energy_label!$H$12&lt;30),1,340/Energy_label!$Q$17))/10)+10^(I$106/10))+I$5</f>
        <v>#NUM!</v>
      </c>
      <c r="J108" s="44" t="e">
        <f>10*LOG(10^((J$104-J$5-datablad!L3*IF(AND(Energy_label!$H$12&gt;-10,Energy_label!$H$12&lt;30),1,340/Energy_label!$Q$17))/10)+10^(J$106/10))+J$5</f>
        <v>#NUM!</v>
      </c>
      <c r="K108" s="44" t="e">
        <f>10*LOG(10^((K$104-K$5-datablad!M3*IF(AND(Energy_label!$H$12&gt;-10,Energy_label!$H$12&lt;30),1,340/Energy_label!$Q$17))/10)+10^(K$106/10))+K$5</f>
        <v>#NUM!</v>
      </c>
      <c r="L108" s="44" t="e">
        <f>10*LOG(10^((L$104-L$5-datablad!N3*IF(AND(Energy_label!$H$12&gt;-10,Energy_label!$H$12&lt;30),1,340/Energy_label!$Q$17))/10)+10^(L$106/10))+L$5</f>
        <v>#NUM!</v>
      </c>
      <c r="M108" s="45" t="e">
        <f t="shared" ref="M108:M124" si="17">10*LOG(10^(C108/10)+10^(D108/10)+10^(E108/10)+10^(F108/10)+10^(G108/10)+10^(H108/10)+10^(I108/10)+10^(J108/10)+10^(K108/10)+10^(L108/10))</f>
        <v>#NUM!</v>
      </c>
      <c r="N108" s="31" t="e">
        <f>IF(M108&lt;Energy_label!N$8,1,0)</f>
        <v>#NUM!</v>
      </c>
      <c r="O108" s="60" t="e">
        <f>0.5*Energy_label!$N$17*Energy_label!$G$17^2*O$25</f>
        <v>#NUM!</v>
      </c>
      <c r="P108" s="60" t="e">
        <f>0.5*Energy_label!$N$17*Energy_label!$G$17^2*P$5*B108/1000</f>
        <v>#NUM!</v>
      </c>
      <c r="Q108" s="60" t="e">
        <f>0.5*Energy_label!$N$17*Energy_label!$G$17^2*Q$25</f>
        <v>#NUM!</v>
      </c>
      <c r="R108" s="61" t="e">
        <f t="shared" ref="R108:R122" si="18">R109</f>
        <v>#NUM!</v>
      </c>
    </row>
    <row r="109" spans="1:18" x14ac:dyDescent="0.15">
      <c r="B109">
        <v>750</v>
      </c>
      <c r="C109" s="44" t="e">
        <f>10*LOG(10^((C$104-C$5-datablad!E4*IF(AND(Energy_label!$H$12&gt;-10,Energy_label!$H$12&lt;30),1,340/Energy_label!$Q$17))/10)+10^(C$106/10))+C$5</f>
        <v>#NUM!</v>
      </c>
      <c r="D109" s="44" t="e">
        <f>10*LOG(10^((D$104-D$5-datablad!F4*IF(AND(Energy_label!$H$12&gt;-10,Energy_label!$H$12&lt;30),1,340/Energy_label!$Q$17))/10)+10^(D$106/10))+D$5</f>
        <v>#NUM!</v>
      </c>
      <c r="E109" s="44" t="e">
        <f>10*LOG(10^((E$104-E$5-datablad!G4*IF(AND(Energy_label!$H$12&gt;-10,Energy_label!$H$12&lt;30),1,340/Energy_label!$Q$17))/10)+10^(E$106/10))+E$5</f>
        <v>#NUM!</v>
      </c>
      <c r="F109" s="44" t="e">
        <f>10*LOG(10^((F$104-F$5-datablad!H4*IF(AND(Energy_label!$H$12&gt;-10,Energy_label!$H$12&lt;30),1,340/Energy_label!$Q$17))/10)+10^(F$106/10))+F$5</f>
        <v>#NUM!</v>
      </c>
      <c r="G109" s="44" t="e">
        <f>10*LOG(10^((G$104-G$5-datablad!I4*IF(AND(Energy_label!$H$12&gt;-10,Energy_label!$H$12&lt;30),1,340/Energy_label!$Q$17))/10)+10^(G$106/10))+G$5</f>
        <v>#NUM!</v>
      </c>
      <c r="H109" s="44" t="e">
        <f>10*LOG(10^((H$104-H$5-datablad!J4*IF(AND(Energy_label!$H$12&gt;-10,Energy_label!$H$12&lt;30),1,340/Energy_label!$Q$17))/10)+10^(H$106/10))+H$5</f>
        <v>#NUM!</v>
      </c>
      <c r="I109" s="44" t="e">
        <f>10*LOG(10^((I$104-I$5-datablad!K4*IF(AND(Energy_label!$H$12&gt;-10,Energy_label!$H$12&lt;30),1,340/Energy_label!$Q$17))/10)+10^(I$106/10))+I$5</f>
        <v>#NUM!</v>
      </c>
      <c r="J109" s="44" t="e">
        <f>10*LOG(10^((J$104-J$5-datablad!L4*IF(AND(Energy_label!$H$12&gt;-10,Energy_label!$H$12&lt;30),1,340/Energy_label!$Q$17))/10)+10^(J$106/10))+J$5</f>
        <v>#NUM!</v>
      </c>
      <c r="K109" s="44" t="e">
        <f>10*LOG(10^((K$104-K$5-datablad!M4*IF(AND(Energy_label!$H$12&gt;-10,Energy_label!$H$12&lt;30),1,340/Energy_label!$Q$17))/10)+10^(K$106/10))+K$5</f>
        <v>#NUM!</v>
      </c>
      <c r="L109" s="44" t="e">
        <f>10*LOG(10^((L$104-L$5-datablad!N4*IF(AND(Energy_label!$H$12&gt;-10,Energy_label!$H$12&lt;30),1,340/Energy_label!$Q$17))/10)+10^(L$106/10))+L$5</f>
        <v>#NUM!</v>
      </c>
      <c r="M109" s="46" t="e">
        <f t="shared" si="17"/>
        <v>#NUM!</v>
      </c>
      <c r="N109" s="31" t="e">
        <f>IF(M109&lt;Energy_label!N$8,1,0)</f>
        <v>#NUM!</v>
      </c>
      <c r="O109" s="60" t="e">
        <f>0.5*Energy_label!$N$17*Energy_label!$G$17^2*O$25</f>
        <v>#NUM!</v>
      </c>
      <c r="P109" s="60" t="e">
        <f>0.5*Energy_label!$N$17*Energy_label!$G$17^2*P$5*B109/1000</f>
        <v>#NUM!</v>
      </c>
      <c r="Q109" s="60" t="e">
        <f>0.5*Energy_label!$N$17*Energy_label!$G$17^2*Q$25</f>
        <v>#NUM!</v>
      </c>
      <c r="R109" s="62" t="e">
        <f t="shared" si="18"/>
        <v>#NUM!</v>
      </c>
    </row>
    <row r="110" spans="1:18" x14ac:dyDescent="0.15">
      <c r="B110">
        <v>1000</v>
      </c>
      <c r="C110" s="44" t="e">
        <f>10*LOG(10^((C$104-C$5-datablad!E5*IF(AND(Energy_label!$H$12&gt;-10,Energy_label!$H$12&lt;30),1,340/Energy_label!$Q$17))/10)+10^(C$106/10))+C$5</f>
        <v>#NUM!</v>
      </c>
      <c r="D110" s="44" t="e">
        <f>10*LOG(10^((D$104-D$5-datablad!F5*IF(AND(Energy_label!$H$12&gt;-10,Energy_label!$H$12&lt;30),1,340/Energy_label!$Q$17))/10)+10^(D$106/10))+D$5</f>
        <v>#NUM!</v>
      </c>
      <c r="E110" s="44" t="e">
        <f>10*LOG(10^((E$104-E$5-datablad!G5*IF(AND(Energy_label!$H$12&gt;-10,Energy_label!$H$12&lt;30),1,340/Energy_label!$Q$17))/10)+10^(E$106/10))+E$5</f>
        <v>#NUM!</v>
      </c>
      <c r="F110" s="44" t="e">
        <f>10*LOG(10^((F$104-F$5-datablad!H5*IF(AND(Energy_label!$H$12&gt;-10,Energy_label!$H$12&lt;30),1,340/Energy_label!$Q$17))/10)+10^(F$106/10))+F$5</f>
        <v>#NUM!</v>
      </c>
      <c r="G110" s="44" t="e">
        <f>10*LOG(10^((G$104-G$5-datablad!I5*IF(AND(Energy_label!$H$12&gt;-10,Energy_label!$H$12&lt;30),1,340/Energy_label!$Q$17))/10)+10^(G$106/10))+G$5</f>
        <v>#NUM!</v>
      </c>
      <c r="H110" s="44" t="e">
        <f>10*LOG(10^((H$104-H$5-datablad!J5*IF(AND(Energy_label!$H$12&gt;-10,Energy_label!$H$12&lt;30),1,340/Energy_label!$Q$17))/10)+10^(H$106/10))+H$5</f>
        <v>#NUM!</v>
      </c>
      <c r="I110" s="44" t="e">
        <f>10*LOG(10^((I$104-I$5-datablad!K5*IF(AND(Energy_label!$H$12&gt;-10,Energy_label!$H$12&lt;30),1,340/Energy_label!$Q$17))/10)+10^(I$106/10))+I$5</f>
        <v>#NUM!</v>
      </c>
      <c r="J110" s="44" t="e">
        <f>10*LOG(10^((J$104-J$5-datablad!L5*IF(AND(Energy_label!$H$12&gt;-10,Energy_label!$H$12&lt;30),1,340/Energy_label!$Q$17))/10)+10^(J$106/10))+J$5</f>
        <v>#NUM!</v>
      </c>
      <c r="K110" s="44" t="e">
        <f>10*LOG(10^((K$104-K$5-datablad!M5*IF(AND(Energy_label!$H$12&gt;-10,Energy_label!$H$12&lt;30),1,340/Energy_label!$Q$17))/10)+10^(K$106/10))+K$5</f>
        <v>#NUM!</v>
      </c>
      <c r="L110" s="44" t="e">
        <f>10*LOG(10^((L$104-L$5-datablad!N5*IF(AND(Energy_label!$H$12&gt;-10,Energy_label!$H$12&lt;30),1,340/Energy_label!$Q$17))/10)+10^(L$106/10))+L$5</f>
        <v>#NUM!</v>
      </c>
      <c r="M110" s="46" t="e">
        <f t="shared" si="17"/>
        <v>#NUM!</v>
      </c>
      <c r="N110" s="31" t="e">
        <f>IF(M110&lt;Energy_label!N$8,1,0)</f>
        <v>#NUM!</v>
      </c>
      <c r="O110" s="60" t="e">
        <f>0.5*Energy_label!$N$17*Energy_label!$G$17^2*O$25</f>
        <v>#NUM!</v>
      </c>
      <c r="P110" s="60" t="e">
        <f>0.5*Energy_label!$N$17*Energy_label!$G$17^2*P$5*B110/1000</f>
        <v>#NUM!</v>
      </c>
      <c r="Q110" s="60" t="e">
        <f>0.5*Energy_label!$N$17*Energy_label!$G$17^2*Q$25</f>
        <v>#NUM!</v>
      </c>
      <c r="R110" s="62" t="e">
        <f t="shared" si="18"/>
        <v>#NUM!</v>
      </c>
    </row>
    <row r="111" spans="1:18" x14ac:dyDescent="0.15">
      <c r="B111">
        <v>1250</v>
      </c>
      <c r="C111" s="44" t="e">
        <f>10*LOG(10^((C$104-C$5-datablad!E6*IF(AND(Energy_label!$H$12&gt;-10,Energy_label!$H$12&lt;30),1,340/Energy_label!$Q$17))/10)+10^(C$106/10))+C$5</f>
        <v>#NUM!</v>
      </c>
      <c r="D111" s="44" t="e">
        <f>10*LOG(10^((D$104-D$5-datablad!F6*IF(AND(Energy_label!$H$12&gt;-10,Energy_label!$H$12&lt;30),1,340/Energy_label!$Q$17))/10)+10^(D$106/10))+D$5</f>
        <v>#NUM!</v>
      </c>
      <c r="E111" s="44" t="e">
        <f>10*LOG(10^((E$104-E$5-datablad!G6*IF(AND(Energy_label!$H$12&gt;-10,Energy_label!$H$12&lt;30),1,340/Energy_label!$Q$17))/10)+10^(E$106/10))+E$5</f>
        <v>#NUM!</v>
      </c>
      <c r="F111" s="44" t="e">
        <f>10*LOG(10^((F$104-F$5-datablad!H6*IF(AND(Energy_label!$H$12&gt;-10,Energy_label!$H$12&lt;30),1,340/Energy_label!$Q$17))/10)+10^(F$106/10))+F$5</f>
        <v>#NUM!</v>
      </c>
      <c r="G111" s="44" t="e">
        <f>10*LOG(10^((G$104-G$5-datablad!I6*IF(AND(Energy_label!$H$12&gt;-10,Energy_label!$H$12&lt;30),1,340/Energy_label!$Q$17))/10)+10^(G$106/10))+G$5</f>
        <v>#NUM!</v>
      </c>
      <c r="H111" s="44" t="e">
        <f>10*LOG(10^((H$104-H$5-datablad!J6*IF(AND(Energy_label!$H$12&gt;-10,Energy_label!$H$12&lt;30),1,340/Energy_label!$Q$17))/10)+10^(H$106/10))+H$5</f>
        <v>#NUM!</v>
      </c>
      <c r="I111" s="44" t="e">
        <f>10*LOG(10^((I$104-I$5-datablad!K6*IF(AND(Energy_label!$H$12&gt;-10,Energy_label!$H$12&lt;30),1,340/Energy_label!$Q$17))/10)+10^(I$106/10))+I$5</f>
        <v>#NUM!</v>
      </c>
      <c r="J111" s="44" t="e">
        <f>10*LOG(10^((J$104-J$5-datablad!L6*IF(AND(Energy_label!$H$12&gt;-10,Energy_label!$H$12&lt;30),1,340/Energy_label!$Q$17))/10)+10^(J$106/10))+J$5</f>
        <v>#NUM!</v>
      </c>
      <c r="K111" s="44" t="e">
        <f>10*LOG(10^((K$104-K$5-datablad!M6*IF(AND(Energy_label!$H$12&gt;-10,Energy_label!$H$12&lt;30),1,340/Energy_label!$Q$17))/10)+10^(K$106/10))+K$5</f>
        <v>#NUM!</v>
      </c>
      <c r="L111" s="44" t="e">
        <f>10*LOG(10^((L$104-L$5-datablad!N6*IF(AND(Energy_label!$H$12&gt;-10,Energy_label!$H$12&lt;30),1,340/Energy_label!$Q$17))/10)+10^(L$106/10))+L$5</f>
        <v>#NUM!</v>
      </c>
      <c r="M111" s="46" t="e">
        <f t="shared" si="17"/>
        <v>#NUM!</v>
      </c>
      <c r="N111" s="31" t="e">
        <f>IF(M111&lt;Energy_label!N$8,1,0)</f>
        <v>#NUM!</v>
      </c>
      <c r="O111" s="60" t="e">
        <f>0.5*Energy_label!$N$17*Energy_label!$G$17^2*O$25</f>
        <v>#NUM!</v>
      </c>
      <c r="P111" s="60" t="e">
        <f>0.5*Energy_label!$N$17*Energy_label!$G$17^2*P$5*B111/1000</f>
        <v>#NUM!</v>
      </c>
      <c r="Q111" s="60" t="e">
        <f>0.5*Energy_label!$N$17*Energy_label!$G$17^2*Q$25</f>
        <v>#NUM!</v>
      </c>
      <c r="R111" s="62" t="e">
        <f t="shared" si="18"/>
        <v>#NUM!</v>
      </c>
    </row>
    <row r="112" spans="1:18" x14ac:dyDescent="0.15">
      <c r="B112">
        <v>1500</v>
      </c>
      <c r="C112" s="44" t="e">
        <f>10*LOG(10^((C$104-C$5-datablad!E7*IF(AND(Energy_label!$H$12&gt;-10,Energy_label!$H$12&lt;30),1,340/Energy_label!$Q$17))/10)+10^(C$106/10))+C$5</f>
        <v>#NUM!</v>
      </c>
      <c r="D112" s="44" t="e">
        <f>10*LOG(10^((D$104-D$5-datablad!F7*IF(AND(Energy_label!$H$12&gt;-10,Energy_label!$H$12&lt;30),1,340/Energy_label!$Q$17))/10)+10^(D$106/10))+D$5</f>
        <v>#NUM!</v>
      </c>
      <c r="E112" s="44" t="e">
        <f>10*LOG(10^((E$104-E$5-datablad!G7*IF(AND(Energy_label!$H$12&gt;-10,Energy_label!$H$12&lt;30),1,340/Energy_label!$Q$17))/10)+10^(E$106/10))+E$5</f>
        <v>#NUM!</v>
      </c>
      <c r="F112" s="44" t="e">
        <f>10*LOG(10^((F$104-F$5-datablad!H7*IF(AND(Energy_label!$H$12&gt;-10,Energy_label!$H$12&lt;30),1,340/Energy_label!$Q$17))/10)+10^(F$106/10))+F$5</f>
        <v>#NUM!</v>
      </c>
      <c r="G112" s="44" t="e">
        <f>10*LOG(10^((G$104-G$5-datablad!I7*IF(AND(Energy_label!$H$12&gt;-10,Energy_label!$H$12&lt;30),1,340/Energy_label!$Q$17))/10)+10^(G$106/10))+G$5</f>
        <v>#NUM!</v>
      </c>
      <c r="H112" s="44" t="e">
        <f>10*LOG(10^((H$104-H$5-datablad!J7*IF(AND(Energy_label!$H$12&gt;-10,Energy_label!$H$12&lt;30),1,340/Energy_label!$Q$17))/10)+10^(H$106/10))+H$5</f>
        <v>#NUM!</v>
      </c>
      <c r="I112" s="44" t="e">
        <f>10*LOG(10^((I$104-I$5-datablad!K7*IF(AND(Energy_label!$H$12&gt;-10,Energy_label!$H$12&lt;30),1,340/Energy_label!$Q$17))/10)+10^(I$106/10))+I$5</f>
        <v>#NUM!</v>
      </c>
      <c r="J112" s="44" t="e">
        <f>10*LOG(10^((J$104-J$5-datablad!L7*IF(AND(Energy_label!$H$12&gt;-10,Energy_label!$H$12&lt;30),1,340/Energy_label!$Q$17))/10)+10^(J$106/10))+J$5</f>
        <v>#NUM!</v>
      </c>
      <c r="K112" s="44" t="e">
        <f>10*LOG(10^((K$104-K$5-datablad!M7*IF(AND(Energy_label!$H$12&gt;-10,Energy_label!$H$12&lt;30),1,340/Energy_label!$Q$17))/10)+10^(K$106/10))+K$5</f>
        <v>#NUM!</v>
      </c>
      <c r="L112" s="44" t="e">
        <f>10*LOG(10^((L$104-L$5-datablad!N7*IF(AND(Energy_label!$H$12&gt;-10,Energy_label!$H$12&lt;30),1,340/Energy_label!$Q$17))/10)+10^(L$106/10))+L$5</f>
        <v>#NUM!</v>
      </c>
      <c r="M112" s="46" t="e">
        <f t="shared" si="17"/>
        <v>#NUM!</v>
      </c>
      <c r="N112" s="31" t="e">
        <f>IF(M112&lt;Energy_label!N$8,1,0)</f>
        <v>#NUM!</v>
      </c>
      <c r="O112" s="60" t="e">
        <f>0.5*Energy_label!$N$17*Energy_label!$G$17^2*O$25</f>
        <v>#NUM!</v>
      </c>
      <c r="P112" s="60" t="e">
        <f>0.5*Energy_label!$N$17*Energy_label!$G$17^2*P$5*B112/1000</f>
        <v>#NUM!</v>
      </c>
      <c r="Q112" s="60" t="e">
        <f>0.5*Energy_label!$N$17*Energy_label!$G$17^2*Q$25</f>
        <v>#NUM!</v>
      </c>
      <c r="R112" s="62" t="e">
        <f t="shared" si="18"/>
        <v>#NUM!</v>
      </c>
    </row>
    <row r="113" spans="2:18" x14ac:dyDescent="0.15">
      <c r="B113">
        <v>1750</v>
      </c>
      <c r="C113" s="44" t="e">
        <f>10*LOG(10^((C$104-C$5-datablad!E8*IF(AND(Energy_label!$H$12&gt;-10,Energy_label!$H$12&lt;30),1,340/Energy_label!$Q$17))/10)+10^(C$106/10))+C$5</f>
        <v>#NUM!</v>
      </c>
      <c r="D113" s="44" t="e">
        <f>10*LOG(10^((D$104-D$5-datablad!F8*IF(AND(Energy_label!$H$12&gt;-10,Energy_label!$H$12&lt;30),1,340/Energy_label!$Q$17))/10)+10^(D$106/10))+D$5</f>
        <v>#NUM!</v>
      </c>
      <c r="E113" s="44" t="e">
        <f>10*LOG(10^((E$104-E$5-datablad!G8*IF(AND(Energy_label!$H$12&gt;-10,Energy_label!$H$12&lt;30),1,340/Energy_label!$Q$17))/10)+10^(E$106/10))+E$5</f>
        <v>#NUM!</v>
      </c>
      <c r="F113" s="44" t="e">
        <f>10*LOG(10^((F$104-F$5-datablad!H8*IF(AND(Energy_label!$H$12&gt;-10,Energy_label!$H$12&lt;30),1,340/Energy_label!$Q$17))/10)+10^(F$106/10))+F$5</f>
        <v>#NUM!</v>
      </c>
      <c r="G113" s="44" t="e">
        <f>10*LOG(10^((G$104-G$5-datablad!I8*IF(AND(Energy_label!$H$12&gt;-10,Energy_label!$H$12&lt;30),1,340/Energy_label!$Q$17))/10)+10^(G$106/10))+G$5</f>
        <v>#NUM!</v>
      </c>
      <c r="H113" s="44" t="e">
        <f>10*LOG(10^((H$104-H$5-datablad!J8*IF(AND(Energy_label!$H$12&gt;-10,Energy_label!$H$12&lt;30),1,340/Energy_label!$Q$17))/10)+10^(H$106/10))+H$5</f>
        <v>#NUM!</v>
      </c>
      <c r="I113" s="44" t="e">
        <f>10*LOG(10^((I$104-I$5-datablad!K8*IF(AND(Energy_label!$H$12&gt;-10,Energy_label!$H$12&lt;30),1,340/Energy_label!$Q$17))/10)+10^(I$106/10))+I$5</f>
        <v>#NUM!</v>
      </c>
      <c r="J113" s="44" t="e">
        <f>10*LOG(10^((J$104-J$5-datablad!L8*IF(AND(Energy_label!$H$12&gt;-10,Energy_label!$H$12&lt;30),1,340/Energy_label!$Q$17))/10)+10^(J$106/10))+J$5</f>
        <v>#NUM!</v>
      </c>
      <c r="K113" s="44" t="e">
        <f>10*LOG(10^((K$104-K$5-datablad!M8*IF(AND(Energy_label!$H$12&gt;-10,Energy_label!$H$12&lt;30),1,340/Energy_label!$Q$17))/10)+10^(K$106/10))+K$5</f>
        <v>#NUM!</v>
      </c>
      <c r="L113" s="44" t="e">
        <f>10*LOG(10^((L$104-L$5-datablad!N8*IF(AND(Energy_label!$H$12&gt;-10,Energy_label!$H$12&lt;30),1,340/Energy_label!$Q$17))/10)+10^(L$106/10))+L$5</f>
        <v>#NUM!</v>
      </c>
      <c r="M113" s="46" t="e">
        <f t="shared" si="17"/>
        <v>#NUM!</v>
      </c>
      <c r="N113" s="31" t="e">
        <f>IF(M113&lt;Energy_label!N$8,1,0)</f>
        <v>#NUM!</v>
      </c>
      <c r="O113" s="60" t="e">
        <f>0.5*Energy_label!$N$17*Energy_label!$G$17^2*O$25</f>
        <v>#NUM!</v>
      </c>
      <c r="P113" s="60" t="e">
        <f>0.5*Energy_label!$N$17*Energy_label!$G$17^2*P$5*B113/1000</f>
        <v>#NUM!</v>
      </c>
      <c r="Q113" s="60" t="e">
        <f>0.5*Energy_label!$N$17*Energy_label!$G$17^2*Q$25</f>
        <v>#NUM!</v>
      </c>
      <c r="R113" s="62" t="e">
        <f t="shared" si="18"/>
        <v>#NUM!</v>
      </c>
    </row>
    <row r="114" spans="2:18" x14ac:dyDescent="0.15">
      <c r="B114">
        <v>2000</v>
      </c>
      <c r="C114" s="44" t="e">
        <f>10*LOG(10^((C$104-C$5-datablad!E9*IF(AND(Energy_label!$H$12&gt;-10,Energy_label!$H$12&lt;30),1,340/Energy_label!$Q$17))/10)+10^(C$106/10))+C$5</f>
        <v>#NUM!</v>
      </c>
      <c r="D114" s="44" t="e">
        <f>10*LOG(10^((D$104-D$5-datablad!F9*IF(AND(Energy_label!$H$12&gt;-10,Energy_label!$H$12&lt;30),1,340/Energy_label!$Q$17))/10)+10^(D$106/10))+D$5</f>
        <v>#NUM!</v>
      </c>
      <c r="E114" s="44" t="e">
        <f>10*LOG(10^((E$104-E$5-datablad!G9*IF(AND(Energy_label!$H$12&gt;-10,Energy_label!$H$12&lt;30),1,340/Energy_label!$Q$17))/10)+10^(E$106/10))+E$5</f>
        <v>#NUM!</v>
      </c>
      <c r="F114" s="44" t="e">
        <f>10*LOG(10^((F$104-F$5-datablad!H9*IF(AND(Energy_label!$H$12&gt;-10,Energy_label!$H$12&lt;30),1,340/Energy_label!$Q$17))/10)+10^(F$106/10))+F$5</f>
        <v>#NUM!</v>
      </c>
      <c r="G114" s="44" t="e">
        <f>10*LOG(10^((G$104-G$5-datablad!I9*IF(AND(Energy_label!$H$12&gt;-10,Energy_label!$H$12&lt;30),1,340/Energy_label!$Q$17))/10)+10^(G$106/10))+G$5</f>
        <v>#NUM!</v>
      </c>
      <c r="H114" s="44" t="e">
        <f>10*LOG(10^((H$104-H$5-datablad!J9*IF(AND(Energy_label!$H$12&gt;-10,Energy_label!$H$12&lt;30),1,340/Energy_label!$Q$17))/10)+10^(H$106/10))+H$5</f>
        <v>#NUM!</v>
      </c>
      <c r="I114" s="44" t="e">
        <f>10*LOG(10^((I$104-I$5-datablad!K9*IF(AND(Energy_label!$H$12&gt;-10,Energy_label!$H$12&lt;30),1,340/Energy_label!$Q$17))/10)+10^(I$106/10))+I$5</f>
        <v>#NUM!</v>
      </c>
      <c r="J114" s="44" t="e">
        <f>10*LOG(10^((J$104-J$5-datablad!L9*IF(AND(Energy_label!$H$12&gt;-10,Energy_label!$H$12&lt;30),1,340/Energy_label!$Q$17))/10)+10^(J$106/10))+J$5</f>
        <v>#NUM!</v>
      </c>
      <c r="K114" s="44" t="e">
        <f>10*LOG(10^((K$104-K$5-datablad!M9*IF(AND(Energy_label!$H$12&gt;-10,Energy_label!$H$12&lt;30),1,340/Energy_label!$Q$17))/10)+10^(K$106/10))+K$5</f>
        <v>#NUM!</v>
      </c>
      <c r="L114" s="44" t="e">
        <f>10*LOG(10^((L$104-L$5-datablad!N9*IF(AND(Energy_label!$H$12&gt;-10,Energy_label!$H$12&lt;30),1,340/Energy_label!$Q$17))/10)+10^(L$106/10))+L$5</f>
        <v>#NUM!</v>
      </c>
      <c r="M114" s="46" t="e">
        <f t="shared" si="17"/>
        <v>#NUM!</v>
      </c>
      <c r="N114" s="31" t="e">
        <f>IF(M114&lt;Energy_label!N$8,1,0)</f>
        <v>#NUM!</v>
      </c>
      <c r="O114" s="60" t="e">
        <f>0.5*Energy_label!$N$17*Energy_label!$G$17^2*O$25</f>
        <v>#NUM!</v>
      </c>
      <c r="P114" s="60" t="e">
        <f>0.5*Energy_label!$N$17*Energy_label!$G$17^2*P$5*B114/1000</f>
        <v>#NUM!</v>
      </c>
      <c r="Q114" s="60" t="e">
        <f>0.5*Energy_label!$N$17*Energy_label!$G$17^2*Q$25</f>
        <v>#NUM!</v>
      </c>
      <c r="R114" s="62" t="e">
        <f t="shared" si="18"/>
        <v>#NUM!</v>
      </c>
    </row>
    <row r="115" spans="2:18" x14ac:dyDescent="0.15">
      <c r="B115">
        <v>2250</v>
      </c>
      <c r="C115" s="44" t="e">
        <f>10*LOG(10^((C$104-C$5-datablad!E10*IF(AND(Energy_label!$H$12&gt;-10,Energy_label!$H$12&lt;30),1,340/Energy_label!$Q$17))/10)+10^(C$106/10))+C$5</f>
        <v>#NUM!</v>
      </c>
      <c r="D115" s="44" t="e">
        <f>10*LOG(10^((D$104-D$5-datablad!F10*IF(AND(Energy_label!$H$12&gt;-10,Energy_label!$H$12&lt;30),1,340/Energy_label!$Q$17))/10)+10^(D$106/10))+D$5</f>
        <v>#NUM!</v>
      </c>
      <c r="E115" s="44" t="e">
        <f>10*LOG(10^((E$104-E$5-datablad!G10*IF(AND(Energy_label!$H$12&gt;-10,Energy_label!$H$12&lt;30),1,340/Energy_label!$Q$17))/10)+10^(E$106/10))+E$5</f>
        <v>#NUM!</v>
      </c>
      <c r="F115" s="44" t="e">
        <f>10*LOG(10^((F$104-F$5-datablad!H10*IF(AND(Energy_label!$H$12&gt;-10,Energy_label!$H$12&lt;30),1,340/Energy_label!$Q$17))/10)+10^(F$106/10))+F$5</f>
        <v>#NUM!</v>
      </c>
      <c r="G115" s="44" t="e">
        <f>10*LOG(10^((G$104-G$5-datablad!I10*IF(AND(Energy_label!$H$12&gt;-10,Energy_label!$H$12&lt;30),1,340/Energy_label!$Q$17))/10)+10^(G$106/10))+G$5</f>
        <v>#NUM!</v>
      </c>
      <c r="H115" s="44" t="e">
        <f>10*LOG(10^((H$104-H$5-datablad!J10*IF(AND(Energy_label!$H$12&gt;-10,Energy_label!$H$12&lt;30),1,340/Energy_label!$Q$17))/10)+10^(H$106/10))+H$5</f>
        <v>#NUM!</v>
      </c>
      <c r="I115" s="44" t="e">
        <f>10*LOG(10^((I$104-I$5-datablad!K10*IF(AND(Energy_label!$H$12&gt;-10,Energy_label!$H$12&lt;30),1,340/Energy_label!$Q$17))/10)+10^(I$106/10))+I$5</f>
        <v>#NUM!</v>
      </c>
      <c r="J115" s="44" t="e">
        <f>10*LOG(10^((J$104-J$5-datablad!L10*IF(AND(Energy_label!$H$12&gt;-10,Energy_label!$H$12&lt;30),1,340/Energy_label!$Q$17))/10)+10^(J$106/10))+J$5</f>
        <v>#NUM!</v>
      </c>
      <c r="K115" s="44" t="e">
        <f>10*LOG(10^((K$104-K$5-datablad!M10*IF(AND(Energy_label!$H$12&gt;-10,Energy_label!$H$12&lt;30),1,340/Energy_label!$Q$17))/10)+10^(K$106/10))+K$5</f>
        <v>#NUM!</v>
      </c>
      <c r="L115" s="44" t="e">
        <f>10*LOG(10^((L$104-L$5-datablad!N10*IF(AND(Energy_label!$H$12&gt;-10,Energy_label!$H$12&lt;30),1,340/Energy_label!$Q$17))/10)+10^(L$106/10))+L$5</f>
        <v>#NUM!</v>
      </c>
      <c r="M115" s="46" t="e">
        <f t="shared" si="17"/>
        <v>#NUM!</v>
      </c>
      <c r="N115" s="31" t="e">
        <f>IF(M115&lt;Energy_label!N$8,1,0)</f>
        <v>#NUM!</v>
      </c>
      <c r="O115" s="60" t="e">
        <f>0.5*Energy_label!$N$17*Energy_label!$G$17^2*O$25</f>
        <v>#NUM!</v>
      </c>
      <c r="P115" s="60" t="e">
        <f>0.5*Energy_label!$N$17*Energy_label!$G$17^2*P$5*B115/1000</f>
        <v>#NUM!</v>
      </c>
      <c r="Q115" s="60" t="e">
        <f>0.5*Energy_label!$N$17*Energy_label!$G$17^2*Q$25</f>
        <v>#NUM!</v>
      </c>
      <c r="R115" s="62" t="e">
        <f t="shared" si="18"/>
        <v>#NUM!</v>
      </c>
    </row>
    <row r="116" spans="2:18" x14ac:dyDescent="0.15">
      <c r="B116">
        <v>2500</v>
      </c>
      <c r="C116" s="44" t="e">
        <f>10*LOG(10^((C$104-C$5-datablad!E11*IF(AND(Energy_label!$H$12&gt;-10,Energy_label!$H$12&lt;30),1,340/Energy_label!$Q$17))/10)+10^(C$106/10))+C$5</f>
        <v>#NUM!</v>
      </c>
      <c r="D116" s="44" t="e">
        <f>10*LOG(10^((D$104-D$5-datablad!F11*IF(AND(Energy_label!$H$12&gt;-10,Energy_label!$H$12&lt;30),1,340/Energy_label!$Q$17))/10)+10^(D$106/10))+D$5</f>
        <v>#NUM!</v>
      </c>
      <c r="E116" s="44" t="e">
        <f>10*LOG(10^((E$104-E$5-datablad!G11*IF(AND(Energy_label!$H$12&gt;-10,Energy_label!$H$12&lt;30),1,340/Energy_label!$Q$17))/10)+10^(E$106/10))+E$5</f>
        <v>#NUM!</v>
      </c>
      <c r="F116" s="44" t="e">
        <f>10*LOG(10^((F$104-F$5-datablad!H11*IF(AND(Energy_label!$H$12&gt;-10,Energy_label!$H$12&lt;30),1,340/Energy_label!$Q$17))/10)+10^(F$106/10))+F$5</f>
        <v>#NUM!</v>
      </c>
      <c r="G116" s="44" t="e">
        <f>10*LOG(10^((G$104-G$5-datablad!I11*IF(AND(Energy_label!$H$12&gt;-10,Energy_label!$H$12&lt;30),1,340/Energy_label!$Q$17))/10)+10^(G$106/10))+G$5</f>
        <v>#NUM!</v>
      </c>
      <c r="H116" s="44" t="e">
        <f>10*LOG(10^((H$104-H$5-datablad!J11*IF(AND(Energy_label!$H$12&gt;-10,Energy_label!$H$12&lt;30),1,340/Energy_label!$Q$17))/10)+10^(H$106/10))+H$5</f>
        <v>#NUM!</v>
      </c>
      <c r="I116" s="44" t="e">
        <f>10*LOG(10^((I$104-I$5-datablad!K11*IF(AND(Energy_label!$H$12&gt;-10,Energy_label!$H$12&lt;30),1,340/Energy_label!$Q$17))/10)+10^(I$106/10))+I$5</f>
        <v>#NUM!</v>
      </c>
      <c r="J116" s="44" t="e">
        <f>10*LOG(10^((J$104-J$5-datablad!L11*IF(AND(Energy_label!$H$12&gt;-10,Energy_label!$H$12&lt;30),1,340/Energy_label!$Q$17))/10)+10^(J$106/10))+J$5</f>
        <v>#NUM!</v>
      </c>
      <c r="K116" s="44" t="e">
        <f>10*LOG(10^((K$104-K$5-datablad!M11*IF(AND(Energy_label!$H$12&gt;-10,Energy_label!$H$12&lt;30),1,340/Energy_label!$Q$17))/10)+10^(K$106/10))+K$5</f>
        <v>#NUM!</v>
      </c>
      <c r="L116" s="44" t="e">
        <f>10*LOG(10^((L$104-L$5-datablad!N11*IF(AND(Energy_label!$H$12&gt;-10,Energy_label!$H$12&lt;30),1,340/Energy_label!$Q$17))/10)+10^(L$106/10))+L$5</f>
        <v>#NUM!</v>
      </c>
      <c r="M116" s="46" t="e">
        <f t="shared" si="17"/>
        <v>#NUM!</v>
      </c>
      <c r="N116" s="31" t="e">
        <f>IF(M116&lt;Energy_label!N$8,1,0)</f>
        <v>#NUM!</v>
      </c>
      <c r="O116" s="60" t="e">
        <f>0.5*Energy_label!$N$17*Energy_label!$G$17^2*O$25</f>
        <v>#NUM!</v>
      </c>
      <c r="P116" s="60" t="e">
        <f>0.5*Energy_label!$N$17*Energy_label!$G$17^2*P$5*B116/1000</f>
        <v>#NUM!</v>
      </c>
      <c r="Q116" s="60" t="e">
        <f>0.5*Energy_label!$N$17*Energy_label!$G$17^2*Q$25</f>
        <v>#NUM!</v>
      </c>
      <c r="R116" s="62" t="e">
        <f t="shared" si="18"/>
        <v>#NUM!</v>
      </c>
    </row>
    <row r="117" spans="2:18" x14ac:dyDescent="0.15">
      <c r="B117">
        <v>2750</v>
      </c>
      <c r="C117" s="44" t="e">
        <f>10*LOG(10^((C$104-C$5-datablad!E12*IF(AND(Energy_label!$H$12&gt;-10,Energy_label!$H$12&lt;30),1,340/Energy_label!$Q$17))/10)+10^(C$106/10))+C$5</f>
        <v>#NUM!</v>
      </c>
      <c r="D117" s="44" t="e">
        <f>10*LOG(10^((D$104-D$5-datablad!F12*IF(AND(Energy_label!$H$12&gt;-10,Energy_label!$H$12&lt;30),1,340/Energy_label!$Q$17))/10)+10^(D$106/10))+D$5</f>
        <v>#NUM!</v>
      </c>
      <c r="E117" s="44" t="e">
        <f>10*LOG(10^((E$104-E$5-datablad!G12*IF(AND(Energy_label!$H$12&gt;-10,Energy_label!$H$12&lt;30),1,340/Energy_label!$Q$17))/10)+10^(E$106/10))+E$5</f>
        <v>#NUM!</v>
      </c>
      <c r="F117" s="44" t="e">
        <f>10*LOG(10^((F$104-F$5-datablad!H12*IF(AND(Energy_label!$H$12&gt;-10,Energy_label!$H$12&lt;30),1,340/Energy_label!$Q$17))/10)+10^(F$106/10))+F$5</f>
        <v>#NUM!</v>
      </c>
      <c r="G117" s="44" t="e">
        <f>10*LOG(10^((G$104-G$5-datablad!I12*IF(AND(Energy_label!$H$12&gt;-10,Energy_label!$H$12&lt;30),1,340/Energy_label!$Q$17))/10)+10^(G$106/10))+G$5</f>
        <v>#NUM!</v>
      </c>
      <c r="H117" s="44" t="e">
        <f>10*LOG(10^((H$104-H$5-datablad!J12*IF(AND(Energy_label!$H$12&gt;-10,Energy_label!$H$12&lt;30),1,340/Energy_label!$Q$17))/10)+10^(H$106/10))+H$5</f>
        <v>#NUM!</v>
      </c>
      <c r="I117" s="44" t="e">
        <f>10*LOG(10^((I$104-I$5-datablad!K12*IF(AND(Energy_label!$H$12&gt;-10,Energy_label!$H$12&lt;30),1,340/Energy_label!$Q$17))/10)+10^(I$106/10))+I$5</f>
        <v>#NUM!</v>
      </c>
      <c r="J117" s="44" t="e">
        <f>10*LOG(10^((J$104-J$5-datablad!L12*IF(AND(Energy_label!$H$12&gt;-10,Energy_label!$H$12&lt;30),1,340/Energy_label!$Q$17))/10)+10^(J$106/10))+J$5</f>
        <v>#NUM!</v>
      </c>
      <c r="K117" s="44" t="e">
        <f>10*LOG(10^((K$104-K$5-datablad!M12*IF(AND(Energy_label!$H$12&gt;-10,Energy_label!$H$12&lt;30),1,340/Energy_label!$Q$17))/10)+10^(K$106/10))+K$5</f>
        <v>#NUM!</v>
      </c>
      <c r="L117" s="44" t="e">
        <f>10*LOG(10^((L$104-L$5-datablad!N12*IF(AND(Energy_label!$H$12&gt;-10,Energy_label!$H$12&lt;30),1,340/Energy_label!$Q$17))/10)+10^(L$106/10))+L$5</f>
        <v>#NUM!</v>
      </c>
      <c r="M117" s="46" t="e">
        <f t="shared" si="17"/>
        <v>#NUM!</v>
      </c>
      <c r="N117" s="31" t="e">
        <f>IF(M117&lt;Energy_label!N$8,1,0)</f>
        <v>#NUM!</v>
      </c>
      <c r="O117" s="60" t="e">
        <f>0.5*Energy_label!$N$17*Energy_label!$G$17^2*O$25</f>
        <v>#NUM!</v>
      </c>
      <c r="P117" s="60" t="e">
        <f>0.5*Energy_label!$N$17*Energy_label!$G$17^2*P$5*B117/1000</f>
        <v>#NUM!</v>
      </c>
      <c r="Q117" s="60" t="e">
        <f>0.5*Energy_label!$N$17*Energy_label!$G$17^2*Q$25</f>
        <v>#NUM!</v>
      </c>
      <c r="R117" s="62" t="e">
        <f t="shared" si="18"/>
        <v>#NUM!</v>
      </c>
    </row>
    <row r="118" spans="2:18" x14ac:dyDescent="0.15">
      <c r="B118">
        <v>3000</v>
      </c>
      <c r="C118" s="44" t="e">
        <f>10*LOG(10^((C$104-C$5-datablad!E13*IF(AND(Energy_label!$H$12&gt;-10,Energy_label!$H$12&lt;30),1,340/Energy_label!$Q$17))/10)+10^(C$106/10))+C$5</f>
        <v>#NUM!</v>
      </c>
      <c r="D118" s="44" t="e">
        <f>10*LOG(10^((D$104-D$5-datablad!F13*IF(AND(Energy_label!$H$12&gt;-10,Energy_label!$H$12&lt;30),1,340/Energy_label!$Q$17))/10)+10^(D$106/10))+D$5</f>
        <v>#NUM!</v>
      </c>
      <c r="E118" s="44" t="e">
        <f>10*LOG(10^((E$104-E$5-datablad!G13*IF(AND(Energy_label!$H$12&gt;-10,Energy_label!$H$12&lt;30),1,340/Energy_label!$Q$17))/10)+10^(E$106/10))+E$5</f>
        <v>#NUM!</v>
      </c>
      <c r="F118" s="44" t="e">
        <f>10*LOG(10^((F$104-F$5-datablad!H13*IF(AND(Energy_label!$H$12&gt;-10,Energy_label!$H$12&lt;30),1,340/Energy_label!$Q$17))/10)+10^(F$106/10))+F$5</f>
        <v>#NUM!</v>
      </c>
      <c r="G118" s="44" t="e">
        <f>10*LOG(10^((G$104-G$5-datablad!I13*IF(AND(Energy_label!$H$12&gt;-10,Energy_label!$H$12&lt;30),1,340/Energy_label!$Q$17))/10)+10^(G$106/10))+G$5</f>
        <v>#NUM!</v>
      </c>
      <c r="H118" s="44" t="e">
        <f>10*LOG(10^((H$104-H$5-datablad!J13*IF(AND(Energy_label!$H$12&gt;-10,Energy_label!$H$12&lt;30),1,340/Energy_label!$Q$17))/10)+10^(H$106/10))+H$5</f>
        <v>#NUM!</v>
      </c>
      <c r="I118" s="44" t="e">
        <f>10*LOG(10^((I$104-I$5-datablad!K13*IF(AND(Energy_label!$H$12&gt;-10,Energy_label!$H$12&lt;30),1,340/Energy_label!$Q$17))/10)+10^(I$106/10))+I$5</f>
        <v>#NUM!</v>
      </c>
      <c r="J118" s="44" t="e">
        <f>10*LOG(10^((J$104-J$5-datablad!L13*IF(AND(Energy_label!$H$12&gt;-10,Energy_label!$H$12&lt;30),1,340/Energy_label!$Q$17))/10)+10^(J$106/10))+J$5</f>
        <v>#NUM!</v>
      </c>
      <c r="K118" s="44" t="e">
        <f>10*LOG(10^((K$104-K$5-datablad!M13*IF(AND(Energy_label!$H$12&gt;-10,Energy_label!$H$12&lt;30),1,340/Energy_label!$Q$17))/10)+10^(K$106/10))+K$5</f>
        <v>#NUM!</v>
      </c>
      <c r="L118" s="44" t="e">
        <f>10*LOG(10^((L$104-L$5-datablad!N13*IF(AND(Energy_label!$H$12&gt;-10,Energy_label!$H$12&lt;30),1,340/Energy_label!$Q$17))/10)+10^(L$106/10))+L$5</f>
        <v>#NUM!</v>
      </c>
      <c r="M118" s="46" t="e">
        <f t="shared" si="17"/>
        <v>#NUM!</v>
      </c>
      <c r="N118" s="31" t="e">
        <f>IF(M118&lt;Energy_label!N$8,1,0)</f>
        <v>#NUM!</v>
      </c>
      <c r="O118" s="60" t="e">
        <f>0.5*Energy_label!$N$17*Energy_label!$G$17^2*O$25</f>
        <v>#NUM!</v>
      </c>
      <c r="P118" s="60" t="e">
        <f>0.5*Energy_label!$N$17*Energy_label!$G$17^2*P$5*B118/1000</f>
        <v>#NUM!</v>
      </c>
      <c r="Q118" s="60" t="e">
        <f>0.5*Energy_label!$N$17*Energy_label!$G$17^2*Q$25</f>
        <v>#NUM!</v>
      </c>
      <c r="R118" s="62" t="e">
        <f t="shared" si="18"/>
        <v>#NUM!</v>
      </c>
    </row>
    <row r="119" spans="2:18" x14ac:dyDescent="0.15">
      <c r="B119">
        <v>3250</v>
      </c>
      <c r="C119" s="44" t="e">
        <f>10*LOG(10^((C$104-C$5-datablad!E14*IF(AND(Energy_label!$H$12&gt;-10,Energy_label!$H$12&lt;30),1,340/Energy_label!$Q$17))/10)+10^(C$106/10))+C$5</f>
        <v>#NUM!</v>
      </c>
      <c r="D119" s="44" t="e">
        <f>10*LOG(10^((D$104-D$5-datablad!F14*IF(AND(Energy_label!$H$12&gt;-10,Energy_label!$H$12&lt;30),1,340/Energy_label!$Q$17))/10)+10^(D$106/10))+D$5</f>
        <v>#NUM!</v>
      </c>
      <c r="E119" s="44" t="e">
        <f>10*LOG(10^((E$104-E$5-datablad!G14*IF(AND(Energy_label!$H$12&gt;-10,Energy_label!$H$12&lt;30),1,340/Energy_label!$Q$17))/10)+10^(E$106/10))+E$5</f>
        <v>#NUM!</v>
      </c>
      <c r="F119" s="44" t="e">
        <f>10*LOG(10^((F$104-F$5-datablad!H14*IF(AND(Energy_label!$H$12&gt;-10,Energy_label!$H$12&lt;30),1,340/Energy_label!$Q$17))/10)+10^(F$106/10))+F$5</f>
        <v>#NUM!</v>
      </c>
      <c r="G119" s="44" t="e">
        <f>10*LOG(10^((G$104-G$5-datablad!I14*IF(AND(Energy_label!$H$12&gt;-10,Energy_label!$H$12&lt;30),1,340/Energy_label!$Q$17))/10)+10^(G$106/10))+G$5</f>
        <v>#NUM!</v>
      </c>
      <c r="H119" s="44" t="e">
        <f>10*LOG(10^((H$104-H$5-datablad!J14*IF(AND(Energy_label!$H$12&gt;-10,Energy_label!$H$12&lt;30),1,340/Energy_label!$Q$17))/10)+10^(H$106/10))+H$5</f>
        <v>#NUM!</v>
      </c>
      <c r="I119" s="44" t="e">
        <f>10*LOG(10^((I$104-I$5-datablad!K14*IF(AND(Energy_label!$H$12&gt;-10,Energy_label!$H$12&lt;30),1,340/Energy_label!$Q$17))/10)+10^(I$106/10))+I$5</f>
        <v>#NUM!</v>
      </c>
      <c r="J119" s="44" t="e">
        <f>10*LOG(10^((J$104-J$5-datablad!L14*IF(AND(Energy_label!$H$12&gt;-10,Energy_label!$H$12&lt;30),1,340/Energy_label!$Q$17))/10)+10^(J$106/10))+J$5</f>
        <v>#NUM!</v>
      </c>
      <c r="K119" s="44" t="e">
        <f>10*LOG(10^((K$104-K$5-datablad!M14*IF(AND(Energy_label!$H$12&gt;-10,Energy_label!$H$12&lt;30),1,340/Energy_label!$Q$17))/10)+10^(K$106/10))+K$5</f>
        <v>#NUM!</v>
      </c>
      <c r="L119" s="44" t="e">
        <f>10*LOG(10^((L$104-L$5-datablad!N14*IF(AND(Energy_label!$H$12&gt;-10,Energy_label!$H$12&lt;30),1,340/Energy_label!$Q$17))/10)+10^(L$106/10))+L$5</f>
        <v>#NUM!</v>
      </c>
      <c r="M119" s="46" t="e">
        <f t="shared" si="17"/>
        <v>#NUM!</v>
      </c>
      <c r="N119" s="31" t="e">
        <f>IF(M119&lt;Energy_label!N$8,1,0)</f>
        <v>#NUM!</v>
      </c>
      <c r="O119" s="60" t="e">
        <f>0.5*Energy_label!$N$17*Energy_label!$G$17^2*O$25</f>
        <v>#NUM!</v>
      </c>
      <c r="P119" s="60" t="e">
        <f>0.5*Energy_label!$N$17*Energy_label!$G$17^2*P$5*B119/1000</f>
        <v>#NUM!</v>
      </c>
      <c r="Q119" s="60" t="e">
        <f>0.5*Energy_label!$N$17*Energy_label!$G$17^2*Q$25</f>
        <v>#NUM!</v>
      </c>
      <c r="R119" s="62" t="e">
        <f t="shared" si="18"/>
        <v>#NUM!</v>
      </c>
    </row>
    <row r="120" spans="2:18" x14ac:dyDescent="0.15">
      <c r="B120">
        <v>3500</v>
      </c>
      <c r="C120" s="44" t="e">
        <f>10*LOG(10^((C$104-C$5-datablad!E15*IF(AND(Energy_label!$H$12&gt;-10,Energy_label!$H$12&lt;30),1,340/Energy_label!$Q$17))/10)+10^(C$106/10))+C$5</f>
        <v>#NUM!</v>
      </c>
      <c r="D120" s="44" t="e">
        <f>10*LOG(10^((D$104-D$5-datablad!F15*IF(AND(Energy_label!$H$12&gt;-10,Energy_label!$H$12&lt;30),1,340/Energy_label!$Q$17))/10)+10^(D$106/10))+D$5</f>
        <v>#NUM!</v>
      </c>
      <c r="E120" s="44" t="e">
        <f>10*LOG(10^((E$104-E$5-datablad!G15*IF(AND(Energy_label!$H$12&gt;-10,Energy_label!$H$12&lt;30),1,340/Energy_label!$Q$17))/10)+10^(E$106/10))+E$5</f>
        <v>#NUM!</v>
      </c>
      <c r="F120" s="44" t="e">
        <f>10*LOG(10^((F$104-F$5-datablad!H15*IF(AND(Energy_label!$H$12&gt;-10,Energy_label!$H$12&lt;30),1,340/Energy_label!$Q$17))/10)+10^(F$106/10))+F$5</f>
        <v>#NUM!</v>
      </c>
      <c r="G120" s="44" t="e">
        <f>10*LOG(10^((G$104-G$5-datablad!I15*IF(AND(Energy_label!$H$12&gt;-10,Energy_label!$H$12&lt;30),1,340/Energy_label!$Q$17))/10)+10^(G$106/10))+G$5</f>
        <v>#NUM!</v>
      </c>
      <c r="H120" s="44" t="e">
        <f>10*LOG(10^((H$104-H$5-datablad!J15*IF(AND(Energy_label!$H$12&gt;-10,Energy_label!$H$12&lt;30),1,340/Energy_label!$Q$17))/10)+10^(H$106/10))+H$5</f>
        <v>#NUM!</v>
      </c>
      <c r="I120" s="44" t="e">
        <f>10*LOG(10^((I$104-I$5-datablad!K15*IF(AND(Energy_label!$H$12&gt;-10,Energy_label!$H$12&lt;30),1,340/Energy_label!$Q$17))/10)+10^(I$106/10))+I$5</f>
        <v>#NUM!</v>
      </c>
      <c r="J120" s="44" t="e">
        <f>10*LOG(10^((J$104-J$5-datablad!L15*IF(AND(Energy_label!$H$12&gt;-10,Energy_label!$H$12&lt;30),1,340/Energy_label!$Q$17))/10)+10^(J$106/10))+J$5</f>
        <v>#NUM!</v>
      </c>
      <c r="K120" s="44" t="e">
        <f>10*LOG(10^((K$104-K$5-datablad!M15*IF(AND(Energy_label!$H$12&gt;-10,Energy_label!$H$12&lt;30),1,340/Energy_label!$Q$17))/10)+10^(K$106/10))+K$5</f>
        <v>#NUM!</v>
      </c>
      <c r="L120" s="44" t="e">
        <f>10*LOG(10^((L$104-L$5-datablad!N15*IF(AND(Energy_label!$H$12&gt;-10,Energy_label!$H$12&lt;30),1,340/Energy_label!$Q$17))/10)+10^(L$106/10))+L$5</f>
        <v>#NUM!</v>
      </c>
      <c r="M120" s="46" t="e">
        <f t="shared" si="17"/>
        <v>#NUM!</v>
      </c>
      <c r="N120" s="31" t="e">
        <f>IF(M120&lt;Energy_label!N$8,1,0)</f>
        <v>#NUM!</v>
      </c>
      <c r="O120" s="60" t="e">
        <f>0.5*Energy_label!$N$17*Energy_label!$G$17^2*O$25</f>
        <v>#NUM!</v>
      </c>
      <c r="P120" s="60" t="e">
        <f>0.5*Energy_label!$N$17*Energy_label!$G$17^2*P$5*B120/1000</f>
        <v>#NUM!</v>
      </c>
      <c r="Q120" s="60" t="e">
        <f>0.5*Energy_label!$N$17*Energy_label!$G$17^2*Q$25</f>
        <v>#NUM!</v>
      </c>
      <c r="R120" s="62" t="e">
        <f t="shared" si="18"/>
        <v>#NUM!</v>
      </c>
    </row>
    <row r="121" spans="2:18" x14ac:dyDescent="0.15">
      <c r="B121">
        <v>3750</v>
      </c>
      <c r="C121" s="44" t="e">
        <f>10*LOG(10^((C$104-C$5-datablad!E16*IF(AND(Energy_label!$H$12&gt;-10,Energy_label!$H$12&lt;30),1,340/Energy_label!$Q$17))/10)+10^(C$106/10))+C$5</f>
        <v>#NUM!</v>
      </c>
      <c r="D121" s="44" t="e">
        <f>10*LOG(10^((D$104-D$5-datablad!F16*IF(AND(Energy_label!$H$12&gt;-10,Energy_label!$H$12&lt;30),1,340/Energy_label!$Q$17))/10)+10^(D$106/10))+D$5</f>
        <v>#NUM!</v>
      </c>
      <c r="E121" s="44" t="e">
        <f>10*LOG(10^((E$104-E$5-datablad!G16*IF(AND(Energy_label!$H$12&gt;-10,Energy_label!$H$12&lt;30),1,340/Energy_label!$Q$17))/10)+10^(E$106/10))+E$5</f>
        <v>#NUM!</v>
      </c>
      <c r="F121" s="44" t="e">
        <f>10*LOG(10^((F$104-F$5-datablad!H16*IF(AND(Energy_label!$H$12&gt;-10,Energy_label!$H$12&lt;30),1,340/Energy_label!$Q$17))/10)+10^(F$106/10))+F$5</f>
        <v>#NUM!</v>
      </c>
      <c r="G121" s="44" t="e">
        <f>10*LOG(10^((G$104-G$5-datablad!I16*IF(AND(Energy_label!$H$12&gt;-10,Energy_label!$H$12&lt;30),1,340/Energy_label!$Q$17))/10)+10^(G$106/10))+G$5</f>
        <v>#NUM!</v>
      </c>
      <c r="H121" s="44" t="e">
        <f>10*LOG(10^((H$104-H$5-datablad!J16*IF(AND(Energy_label!$H$12&gt;-10,Energy_label!$H$12&lt;30),1,340/Energy_label!$Q$17))/10)+10^(H$106/10))+H$5</f>
        <v>#NUM!</v>
      </c>
      <c r="I121" s="44" t="e">
        <f>10*LOG(10^((I$104-I$5-datablad!K16*IF(AND(Energy_label!$H$12&gt;-10,Energy_label!$H$12&lt;30),1,340/Energy_label!$Q$17))/10)+10^(I$106/10))+I$5</f>
        <v>#NUM!</v>
      </c>
      <c r="J121" s="44" t="e">
        <f>10*LOG(10^((J$104-J$5-datablad!L16*IF(AND(Energy_label!$H$12&gt;-10,Energy_label!$H$12&lt;30),1,340/Energy_label!$Q$17))/10)+10^(J$106/10))+J$5</f>
        <v>#NUM!</v>
      </c>
      <c r="K121" s="44" t="e">
        <f>10*LOG(10^((K$104-K$5-datablad!M16*IF(AND(Energy_label!$H$12&gt;-10,Energy_label!$H$12&lt;30),1,340/Energy_label!$Q$17))/10)+10^(K$106/10))+K$5</f>
        <v>#NUM!</v>
      </c>
      <c r="L121" s="44" t="e">
        <f>10*LOG(10^((L$104-L$5-datablad!N16*IF(AND(Energy_label!$H$12&gt;-10,Energy_label!$H$12&lt;30),1,340/Energy_label!$Q$17))/10)+10^(L$106/10))+L$5</f>
        <v>#NUM!</v>
      </c>
      <c r="M121" s="46" t="e">
        <f t="shared" si="17"/>
        <v>#NUM!</v>
      </c>
      <c r="N121" s="31" t="e">
        <f>IF(M121&lt;Energy_label!N$8,1,0)</f>
        <v>#NUM!</v>
      </c>
      <c r="O121" s="60" t="e">
        <f>0.5*Energy_label!$N$17*Energy_label!$G$17^2*O$25</f>
        <v>#NUM!</v>
      </c>
      <c r="P121" s="60" t="e">
        <f>0.5*Energy_label!$N$17*Energy_label!$G$17^2*P$5*B121/1000</f>
        <v>#NUM!</v>
      </c>
      <c r="Q121" s="60" t="e">
        <f>0.5*Energy_label!$N$17*Energy_label!$G$17^2*Q$25</f>
        <v>#NUM!</v>
      </c>
      <c r="R121" s="62" t="e">
        <f t="shared" si="18"/>
        <v>#NUM!</v>
      </c>
    </row>
    <row r="122" spans="2:18" x14ac:dyDescent="0.15">
      <c r="B122">
        <v>4000</v>
      </c>
      <c r="C122" s="44" t="e">
        <f>10*LOG(10^((C$104-C$5-datablad!E17*IF(AND(Energy_label!$H$12&gt;-10,Energy_label!$H$12&lt;30),1,340/Energy_label!$Q$17))/10)+10^(C$106/10))+C$5</f>
        <v>#NUM!</v>
      </c>
      <c r="D122" s="44" t="e">
        <f>10*LOG(10^((D$104-D$5-datablad!F17*IF(AND(Energy_label!$H$12&gt;-10,Energy_label!$H$12&lt;30),1,340/Energy_label!$Q$17))/10)+10^(D$106/10))+D$5</f>
        <v>#NUM!</v>
      </c>
      <c r="E122" s="44" t="e">
        <f>10*LOG(10^((E$104-E$5-datablad!G17*IF(AND(Energy_label!$H$12&gt;-10,Energy_label!$H$12&lt;30),1,340/Energy_label!$Q$17))/10)+10^(E$106/10))+E$5</f>
        <v>#NUM!</v>
      </c>
      <c r="F122" s="44" t="e">
        <f>10*LOG(10^((F$104-F$5-datablad!H17*IF(AND(Energy_label!$H$12&gt;-10,Energy_label!$H$12&lt;30),1,340/Energy_label!$Q$17))/10)+10^(F$106/10))+F$5</f>
        <v>#NUM!</v>
      </c>
      <c r="G122" s="44" t="e">
        <f>10*LOG(10^((G$104-G$5-datablad!I17*IF(AND(Energy_label!$H$12&gt;-10,Energy_label!$H$12&lt;30),1,340/Energy_label!$Q$17))/10)+10^(G$106/10))+G$5</f>
        <v>#NUM!</v>
      </c>
      <c r="H122" s="44" t="e">
        <f>10*LOG(10^((H$104-H$5-datablad!J17*IF(AND(Energy_label!$H$12&gt;-10,Energy_label!$H$12&lt;30),1,340/Energy_label!$Q$17))/10)+10^(H$106/10))+H$5</f>
        <v>#NUM!</v>
      </c>
      <c r="I122" s="44" t="e">
        <f>10*LOG(10^((I$104-I$5-datablad!K17*IF(AND(Energy_label!$H$12&gt;-10,Energy_label!$H$12&lt;30),1,340/Energy_label!$Q$17))/10)+10^(I$106/10))+I$5</f>
        <v>#NUM!</v>
      </c>
      <c r="J122" s="44" t="e">
        <f>10*LOG(10^((J$104-J$5-datablad!L17*IF(AND(Energy_label!$H$12&gt;-10,Energy_label!$H$12&lt;30),1,340/Energy_label!$Q$17))/10)+10^(J$106/10))+J$5</f>
        <v>#NUM!</v>
      </c>
      <c r="K122" s="44" t="e">
        <f>10*LOG(10^((K$104-K$5-datablad!M17*IF(AND(Energy_label!$H$12&gt;-10,Energy_label!$H$12&lt;30),1,340/Energy_label!$Q$17))/10)+10^(K$106/10))+K$5</f>
        <v>#NUM!</v>
      </c>
      <c r="L122" s="44" t="e">
        <f>10*LOG(10^((L$104-L$5-datablad!N17*IF(AND(Energy_label!$H$12&gt;-10,Energy_label!$H$12&lt;30),1,340/Energy_label!$Q$17))/10)+10^(L$106/10))+L$5</f>
        <v>#NUM!</v>
      </c>
      <c r="M122" s="46" t="e">
        <f t="shared" si="17"/>
        <v>#NUM!</v>
      </c>
      <c r="N122" s="31" t="e">
        <f>IF(M122&lt;Energy_label!N$8,1,0)</f>
        <v>#NUM!</v>
      </c>
      <c r="O122" s="60" t="e">
        <f>0.5*Energy_label!$N$17*Energy_label!$G$17^2*O$25</f>
        <v>#NUM!</v>
      </c>
      <c r="P122" s="60" t="e">
        <f>0.5*Energy_label!$N$17*Energy_label!$G$17^2*P$5*B122/1000</f>
        <v>#NUM!</v>
      </c>
      <c r="Q122" s="60" t="e">
        <f>0.5*Energy_label!$N$17*Energy_label!$G$17^2*Q$25</f>
        <v>#NUM!</v>
      </c>
      <c r="R122" s="62" t="e">
        <f t="shared" si="18"/>
        <v>#NUM!</v>
      </c>
    </row>
    <row r="123" spans="2:18" x14ac:dyDescent="0.15">
      <c r="B123">
        <v>4250</v>
      </c>
      <c r="C123" s="44" t="e">
        <f>10*LOG(10^((C$104-C$5-datablad!E18*IF(AND(Energy_label!$H$12&gt;-10,Energy_label!$H$12&lt;30),1,340/Energy_label!$Q$17))/10)+10^(C$106/10))+C$5</f>
        <v>#NUM!</v>
      </c>
      <c r="D123" s="44" t="e">
        <f>10*LOG(10^((D$104-D$5-datablad!F18*IF(AND(Energy_label!$H$12&gt;-10,Energy_label!$H$12&lt;30),1,340/Energy_label!$Q$17))/10)+10^(D$106/10))+D$5</f>
        <v>#NUM!</v>
      </c>
      <c r="E123" s="44" t="e">
        <f>10*LOG(10^((E$104-E$5-datablad!G18*IF(AND(Energy_label!$H$12&gt;-10,Energy_label!$H$12&lt;30),1,340/Energy_label!$Q$17))/10)+10^(E$106/10))+E$5</f>
        <v>#NUM!</v>
      </c>
      <c r="F123" s="44" t="e">
        <f>10*LOG(10^((F$104-F$5-datablad!H18*IF(AND(Energy_label!$H$12&gt;-10,Energy_label!$H$12&lt;30),1,340/Energy_label!$Q$17))/10)+10^(F$106/10))+F$5</f>
        <v>#NUM!</v>
      </c>
      <c r="G123" s="44" t="e">
        <f>10*LOG(10^((G$104-G$5-datablad!I18*IF(AND(Energy_label!$H$12&gt;-10,Energy_label!$H$12&lt;30),1,340/Energy_label!$Q$17))/10)+10^(G$106/10))+G$5</f>
        <v>#NUM!</v>
      </c>
      <c r="H123" s="44" t="e">
        <f>10*LOG(10^((H$104-H$5-datablad!J18*IF(AND(Energy_label!$H$12&gt;-10,Energy_label!$H$12&lt;30),1,340/Energy_label!$Q$17))/10)+10^(H$106/10))+H$5</f>
        <v>#NUM!</v>
      </c>
      <c r="I123" s="44" t="e">
        <f>10*LOG(10^((I$104-I$5-datablad!K18*IF(AND(Energy_label!$H$12&gt;-10,Energy_label!$H$12&lt;30),1,340/Energy_label!$Q$17))/10)+10^(I$106/10))+I$5</f>
        <v>#NUM!</v>
      </c>
      <c r="J123" s="44" t="e">
        <f>10*LOG(10^((J$104-J$5-datablad!L18*IF(AND(Energy_label!$H$12&gt;-10,Energy_label!$H$12&lt;30),1,340/Energy_label!$Q$17))/10)+10^(J$106/10))+J$5</f>
        <v>#NUM!</v>
      </c>
      <c r="K123" s="44" t="e">
        <f>10*LOG(10^((K$104-K$5-datablad!M18*IF(AND(Energy_label!$H$12&gt;-10,Energy_label!$H$12&lt;30),1,340/Energy_label!$Q$17))/10)+10^(K$106/10))+K$5</f>
        <v>#NUM!</v>
      </c>
      <c r="L123" s="44" t="e">
        <f>10*LOG(10^((L$104-L$5-datablad!N18*IF(AND(Energy_label!$H$12&gt;-10,Energy_label!$H$12&lt;30),1,340/Energy_label!$Q$17))/10)+10^(L$106/10))+L$5</f>
        <v>#NUM!</v>
      </c>
      <c r="M123" s="46" t="e">
        <f t="shared" si="17"/>
        <v>#NUM!</v>
      </c>
      <c r="N123" s="31" t="e">
        <f>IF(M123&lt;Energy_label!N$8,1,0)</f>
        <v>#NUM!</v>
      </c>
      <c r="O123" s="60" t="e">
        <f>0.5*Energy_label!$N$17*Energy_label!$G$17^2*O$25</f>
        <v>#NUM!</v>
      </c>
      <c r="P123" s="60" t="e">
        <f>0.5*Energy_label!$N$17*Energy_label!$G$17^2*P$5*B123/1000</f>
        <v>#NUM!</v>
      </c>
      <c r="Q123" s="60" t="e">
        <f>0.5*Energy_label!$N$17*Energy_label!$G$17^2*Q$25</f>
        <v>#NUM!</v>
      </c>
      <c r="R123" s="62" t="e">
        <f>R124</f>
        <v>#NUM!</v>
      </c>
    </row>
    <row r="124" spans="2:18" ht="12" thickBot="1" x14ac:dyDescent="0.2">
      <c r="B124">
        <v>4500</v>
      </c>
      <c r="C124" s="44" t="e">
        <f>10*LOG(10^((C$104-C$5-datablad!E19*IF(AND(Energy_label!$H$12&gt;-10,Energy_label!$H$12&lt;30),1,340/Energy_label!$Q$17))/10)+10^(C$106/10))+C$5</f>
        <v>#NUM!</v>
      </c>
      <c r="D124" s="44" t="e">
        <f>10*LOG(10^((D$104-D$5-datablad!F19*IF(AND(Energy_label!$H$12&gt;-10,Energy_label!$H$12&lt;30),1,340/Energy_label!$Q$17))/10)+10^(D$106/10))+D$5</f>
        <v>#NUM!</v>
      </c>
      <c r="E124" s="44" t="e">
        <f>10*LOG(10^((E$104-E$5-datablad!G19*IF(AND(Energy_label!$H$12&gt;-10,Energy_label!$H$12&lt;30),1,340/Energy_label!$Q$17))/10)+10^(E$106/10))+E$5</f>
        <v>#NUM!</v>
      </c>
      <c r="F124" s="44" t="e">
        <f>10*LOG(10^((F$104-F$5-datablad!H19*IF(AND(Energy_label!$H$12&gt;-10,Energy_label!$H$12&lt;30),1,340/Energy_label!$Q$17))/10)+10^(F$106/10))+F$5</f>
        <v>#NUM!</v>
      </c>
      <c r="G124" s="44" t="e">
        <f>10*LOG(10^((G$104-G$5-datablad!I19*IF(AND(Energy_label!$H$12&gt;-10,Energy_label!$H$12&lt;30),1,340/Energy_label!$Q$17))/10)+10^(G$106/10))+G$5</f>
        <v>#NUM!</v>
      </c>
      <c r="H124" s="44" t="e">
        <f>10*LOG(10^((H$104-H$5-datablad!J19*IF(AND(Energy_label!$H$12&gt;-10,Energy_label!$H$12&lt;30),1,340/Energy_label!$Q$17))/10)+10^(H$106/10))+H$5</f>
        <v>#NUM!</v>
      </c>
      <c r="I124" s="44" t="e">
        <f>10*LOG(10^((I$104-I$5-datablad!K19*IF(AND(Energy_label!$H$12&gt;-10,Energy_label!$H$12&lt;30),1,340/Energy_label!$Q$17))/10)+10^(I$106/10))+I$5</f>
        <v>#NUM!</v>
      </c>
      <c r="J124" s="44" t="e">
        <f>10*LOG(10^((J$104-J$5-datablad!L19*IF(AND(Energy_label!$H$12&gt;-10,Energy_label!$H$12&lt;30),1,340/Energy_label!$Q$17))/10)+10^(J$106/10))+J$5</f>
        <v>#NUM!</v>
      </c>
      <c r="K124" s="44" t="e">
        <f>10*LOG(10^((K$104-K$5-datablad!M19*IF(AND(Energy_label!$H$12&gt;-10,Energy_label!$H$12&lt;30),1,340/Energy_label!$Q$17))/10)+10^(K$106/10))+K$5</f>
        <v>#NUM!</v>
      </c>
      <c r="L124" s="44" t="e">
        <f>10*LOG(10^((L$104-L$5-datablad!N19*IF(AND(Energy_label!$H$12&gt;-10,Energy_label!$H$12&lt;30),1,340/Energy_label!$Q$17))/10)+10^(L$106/10))+L$5</f>
        <v>#NUM!</v>
      </c>
      <c r="M124" s="47" t="e">
        <f t="shared" si="17"/>
        <v>#NUM!</v>
      </c>
      <c r="N124" s="31" t="e">
        <f>IF(M124&lt;Energy_label!N$8,1,0)</f>
        <v>#NUM!</v>
      </c>
      <c r="O124" s="60" t="e">
        <f>0.5*Energy_label!$N$17*Energy_label!$G$17^2*O$25</f>
        <v>#NUM!</v>
      </c>
      <c r="P124" s="60" t="e">
        <f>0.5*Energy_label!$N$17*Energy_label!$G$17^2*P$5*B124/1000</f>
        <v>#NUM!</v>
      </c>
      <c r="Q124" s="60" t="e">
        <f>0.5*Energy_label!$N$17*Energy_label!$G$17^2*Q$25</f>
        <v>#NUM!</v>
      </c>
      <c r="R124" s="63" t="e">
        <f>R128</f>
        <v>#NUM!</v>
      </c>
    </row>
    <row r="125" spans="2:18" x14ac:dyDescent="0.15"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 x14ac:dyDescent="0.15">
      <c r="C126" s="31" t="e">
        <f t="shared" ref="C126:K126" si="19">-0.55*(LOG(C1/$V$45)*3.33-1.65)^2+0.8*(LOG(C1/$V$45)*3.33-1.65)-6+$M65+C3</f>
        <v>#NUM!</v>
      </c>
      <c r="D126" s="31" t="e">
        <f t="shared" si="19"/>
        <v>#NUM!</v>
      </c>
      <c r="E126" s="31" t="e">
        <f t="shared" si="19"/>
        <v>#NUM!</v>
      </c>
      <c r="F126" s="31" t="e">
        <f t="shared" si="19"/>
        <v>#NUM!</v>
      </c>
      <c r="G126" s="31" t="e">
        <f t="shared" si="19"/>
        <v>#NUM!</v>
      </c>
      <c r="H126" s="31" t="e">
        <f t="shared" si="19"/>
        <v>#NUM!</v>
      </c>
      <c r="I126" s="31" t="e">
        <f t="shared" si="19"/>
        <v>#NUM!</v>
      </c>
      <c r="J126" s="31" t="e">
        <f t="shared" si="19"/>
        <v>#NUM!</v>
      </c>
      <c r="K126" s="31" t="e">
        <f t="shared" si="19"/>
        <v>#NUM!</v>
      </c>
      <c r="L126" s="31" t="e">
        <f>-0.55*(LOG(L1/$V$45)*3.33-1.65)^2+0.8*(LOG(L1/$V$45)*3.33-1.65)-6+$M65+L3</f>
        <v>#NUM!</v>
      </c>
      <c r="M126" s="31"/>
      <c r="N126" s="31"/>
      <c r="O126" s="31"/>
      <c r="P126" s="31"/>
      <c r="Q126" s="31"/>
      <c r="R126" s="31"/>
    </row>
    <row r="127" spans="2:18" ht="12" thickBot="1" x14ac:dyDescent="0.2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</row>
    <row r="128" spans="2:18" x14ac:dyDescent="0.15">
      <c r="B128">
        <v>500</v>
      </c>
      <c r="C128" s="44" t="e">
        <f>10*LOG(10^((C$124-C$5-datablad!E3*IF(AND(Energy_label!$H$12&gt;-10,Energy_label!$H$12&lt;30),1,340/Energy_label!$Q$17))/10)+10^(C$126/10))+C$5</f>
        <v>#NUM!</v>
      </c>
      <c r="D128" s="44" t="e">
        <f>10*LOG(10^((D$124-D$5-datablad!F3*IF(AND(Energy_label!$H$12&gt;-10,Energy_label!$H$12&lt;30),1,340/Energy_label!$Q$17))/10)+10^(D$126/10))+D$5</f>
        <v>#NUM!</v>
      </c>
      <c r="E128" s="44" t="e">
        <f>10*LOG(10^((E$124-E$5-datablad!G3*IF(AND(Energy_label!$H$12&gt;-10,Energy_label!$H$12&lt;30),1,340/Energy_label!$Q$17))/10)+10^(E$126/10))+E$5</f>
        <v>#NUM!</v>
      </c>
      <c r="F128" s="44" t="e">
        <f>10*LOG(10^((F$124-F$5-datablad!H3*IF(AND(Energy_label!$H$12&gt;-10,Energy_label!$H$12&lt;30),1,340/Energy_label!$Q$17))/10)+10^(F$126/10))+F$5</f>
        <v>#NUM!</v>
      </c>
      <c r="G128" s="44" t="e">
        <f>10*LOG(10^((G$124-G$5-datablad!I3*IF(AND(Energy_label!$H$12&gt;-10,Energy_label!$H$12&lt;30),1,340/Energy_label!$Q$17))/10)+10^(G$126/10))+G$5</f>
        <v>#NUM!</v>
      </c>
      <c r="H128" s="44" t="e">
        <f>10*LOG(10^((H$124-H$5-datablad!J3*IF(AND(Energy_label!$H$12&gt;-10,Energy_label!$H$12&lt;30),1,340/Energy_label!$Q$17))/10)+10^(H$126/10))+H$5</f>
        <v>#NUM!</v>
      </c>
      <c r="I128" s="44" t="e">
        <f>10*LOG(10^((I$124-I$5-datablad!K3*IF(AND(Energy_label!$H$12&gt;-10,Energy_label!$H$12&lt;30),1,340/Energy_label!$Q$17))/10)+10^(I$126/10))+I$5</f>
        <v>#NUM!</v>
      </c>
      <c r="J128" s="44" t="e">
        <f>10*LOG(10^((J$124-J$5-datablad!L3*IF(AND(Energy_label!$H$12&gt;-10,Energy_label!$H$12&lt;30),1,340/Energy_label!$Q$17))/10)+10^(J$126/10))+J$5</f>
        <v>#NUM!</v>
      </c>
      <c r="K128" s="44" t="e">
        <f>10*LOG(10^((K$124-K$5-datablad!M3*IF(AND(Energy_label!$H$12&gt;-10,Energy_label!$H$12&lt;30),1,340/Energy_label!$Q$17))/10)+10^(K$126/10))+K$5</f>
        <v>#NUM!</v>
      </c>
      <c r="L128" s="44" t="e">
        <f>10*LOG(10^((L$124-L$5-datablad!N3*IF(AND(Energy_label!$H$12&gt;-10,Energy_label!$H$12&lt;30),1,340/Energy_label!$Q$17))/10)+10^(L$126/10))+L$5</f>
        <v>#NUM!</v>
      </c>
      <c r="M128" s="45" t="e">
        <f t="shared" ref="M128:M144" si="20">10*LOG(10^(C128/10)+10^(D128/10)+10^(E128/10)+10^(F128/10)+10^(G128/10)+10^(H128/10)+10^(I128/10)+10^(J128/10)+10^(K128/10)+10^(L128/10))</f>
        <v>#NUM!</v>
      </c>
      <c r="N128" s="31" t="e">
        <f>IF(M128&lt;Energy_label!N$8,1,0)</f>
        <v>#NUM!</v>
      </c>
      <c r="O128" s="60" t="e">
        <f>0.5*Energy_label!$N$17*Energy_label!$G$17^2*O$25</f>
        <v>#NUM!</v>
      </c>
      <c r="P128" s="60" t="e">
        <f>0.5*Energy_label!$N$17*Energy_label!$G$17^2*P$5*B128/1000</f>
        <v>#NUM!</v>
      </c>
      <c r="Q128" s="60" t="e">
        <f>0.5*Energy_label!$N$17*Energy_label!$G$17^2*Q$25</f>
        <v>#NUM!</v>
      </c>
      <c r="R128" s="61" t="e">
        <f>SUM(O128:Q128)+SUM(O$124:Q$124)+SUM(O$104:Q$104)+SUM(O$22:Q$22)</f>
        <v>#NUM!</v>
      </c>
    </row>
    <row r="129" spans="2:18" x14ac:dyDescent="0.15">
      <c r="B129">
        <v>750</v>
      </c>
      <c r="C129" s="44" t="e">
        <f>10*LOG(10^((C$124-C$5-datablad!E4*IF(AND(Energy_label!$H$12&gt;-10,Energy_label!$H$12&lt;30),1,340/Energy_label!$Q$17))/10)+10^(C$126/10))+C$5</f>
        <v>#NUM!</v>
      </c>
      <c r="D129" s="44" t="e">
        <f>10*LOG(10^((D$124-D$5-datablad!F4*IF(AND(Energy_label!$H$12&gt;-10,Energy_label!$H$12&lt;30),1,340/Energy_label!$Q$17))/10)+10^(D$126/10))+D$5</f>
        <v>#NUM!</v>
      </c>
      <c r="E129" s="44" t="e">
        <f>10*LOG(10^((E$124-E$5-datablad!G4*IF(AND(Energy_label!$H$12&gt;-10,Energy_label!$H$12&lt;30),1,340/Energy_label!$Q$17))/10)+10^(E$126/10))+E$5</f>
        <v>#NUM!</v>
      </c>
      <c r="F129" s="44" t="e">
        <f>10*LOG(10^((F$124-F$5-datablad!H4*IF(AND(Energy_label!$H$12&gt;-10,Energy_label!$H$12&lt;30),1,340/Energy_label!$Q$17))/10)+10^(F$126/10))+F$5</f>
        <v>#NUM!</v>
      </c>
      <c r="G129" s="44" t="e">
        <f>10*LOG(10^((G$124-G$5-datablad!I4*IF(AND(Energy_label!$H$12&gt;-10,Energy_label!$H$12&lt;30),1,340/Energy_label!$Q$17))/10)+10^(G$126/10))+G$5</f>
        <v>#NUM!</v>
      </c>
      <c r="H129" s="44" t="e">
        <f>10*LOG(10^((H$124-H$5-datablad!J4*IF(AND(Energy_label!$H$12&gt;-10,Energy_label!$H$12&lt;30),1,340/Energy_label!$Q$17))/10)+10^(H$126/10))+H$5</f>
        <v>#NUM!</v>
      </c>
      <c r="I129" s="44" t="e">
        <f>10*LOG(10^((I$124-I$5-datablad!K4*IF(AND(Energy_label!$H$12&gt;-10,Energy_label!$H$12&lt;30),1,340/Energy_label!$Q$17))/10)+10^(I$126/10))+I$5</f>
        <v>#NUM!</v>
      </c>
      <c r="J129" s="44" t="e">
        <f>10*LOG(10^((J$124-J$5-datablad!L4*IF(AND(Energy_label!$H$12&gt;-10,Energy_label!$H$12&lt;30),1,340/Energy_label!$Q$17))/10)+10^(J$126/10))+J$5</f>
        <v>#NUM!</v>
      </c>
      <c r="K129" s="44" t="e">
        <f>10*LOG(10^((K$124-K$5-datablad!M4*IF(AND(Energy_label!$H$12&gt;-10,Energy_label!$H$12&lt;30),1,340/Energy_label!$Q$17))/10)+10^(K$126/10))+K$5</f>
        <v>#NUM!</v>
      </c>
      <c r="L129" s="44" t="e">
        <f>10*LOG(10^((L$124-L$5-datablad!N4*IF(AND(Energy_label!$H$12&gt;-10,Energy_label!$H$12&lt;30),1,340/Energy_label!$Q$17))/10)+10^(L$126/10))+L$5</f>
        <v>#NUM!</v>
      </c>
      <c r="M129" s="46" t="e">
        <f t="shared" si="20"/>
        <v>#NUM!</v>
      </c>
      <c r="N129" s="31" t="e">
        <f>IF(M129&lt;Energy_label!N$8,1,0)</f>
        <v>#NUM!</v>
      </c>
      <c r="O129" s="60" t="e">
        <f>0.5*Energy_label!$N$17*Energy_label!$G$17^2*O$25</f>
        <v>#NUM!</v>
      </c>
      <c r="P129" s="60" t="e">
        <f>0.5*Energy_label!$N$17*Energy_label!$G$17^2*P$5*B129/1000</f>
        <v>#NUM!</v>
      </c>
      <c r="Q129" s="60" t="e">
        <f>0.5*Energy_label!$N$17*Energy_label!$G$17^2*Q$25</f>
        <v>#NUM!</v>
      </c>
      <c r="R129" s="62" t="e">
        <f t="shared" ref="R129:R144" si="21">SUM(O129:Q129)+SUM(O$124:Q$124)+SUM(O$104:Q$104)+SUM(O$22:Q$22)</f>
        <v>#NUM!</v>
      </c>
    </row>
    <row r="130" spans="2:18" x14ac:dyDescent="0.15">
      <c r="B130">
        <v>1000</v>
      </c>
      <c r="C130" s="44" t="e">
        <f>10*LOG(10^((C$124-C$5-datablad!E5*IF(AND(Energy_label!$H$12&gt;-10,Energy_label!$H$12&lt;30),1,340/Energy_label!$Q$17))/10)+10^(C$126/10))+C$5</f>
        <v>#NUM!</v>
      </c>
      <c r="D130" s="44" t="e">
        <f>10*LOG(10^((D$124-D$5-datablad!F5*IF(AND(Energy_label!$H$12&gt;-10,Energy_label!$H$12&lt;30),1,340/Energy_label!$Q$17))/10)+10^(D$126/10))+D$5</f>
        <v>#NUM!</v>
      </c>
      <c r="E130" s="44" t="e">
        <f>10*LOG(10^((E$124-E$5-datablad!G5*IF(AND(Energy_label!$H$12&gt;-10,Energy_label!$H$12&lt;30),1,340/Energy_label!$Q$17))/10)+10^(E$126/10))+E$5</f>
        <v>#NUM!</v>
      </c>
      <c r="F130" s="44" t="e">
        <f>10*LOG(10^((F$124-F$5-datablad!H5*IF(AND(Energy_label!$H$12&gt;-10,Energy_label!$H$12&lt;30),1,340/Energy_label!$Q$17))/10)+10^(F$126/10))+F$5</f>
        <v>#NUM!</v>
      </c>
      <c r="G130" s="44" t="e">
        <f>10*LOG(10^((G$124-G$5-datablad!I5*IF(AND(Energy_label!$H$12&gt;-10,Energy_label!$H$12&lt;30),1,340/Energy_label!$Q$17))/10)+10^(G$126/10))+G$5</f>
        <v>#NUM!</v>
      </c>
      <c r="H130" s="44" t="e">
        <f>10*LOG(10^((H$124-H$5-datablad!J5*IF(AND(Energy_label!$H$12&gt;-10,Energy_label!$H$12&lt;30),1,340/Energy_label!$Q$17))/10)+10^(H$126/10))+H$5</f>
        <v>#NUM!</v>
      </c>
      <c r="I130" s="44" t="e">
        <f>10*LOG(10^((I$124-I$5-datablad!K5*IF(AND(Energy_label!$H$12&gt;-10,Energy_label!$H$12&lt;30),1,340/Energy_label!$Q$17))/10)+10^(I$126/10))+I$5</f>
        <v>#NUM!</v>
      </c>
      <c r="J130" s="44" t="e">
        <f>10*LOG(10^((J$124-J$5-datablad!L5*IF(AND(Energy_label!$H$12&gt;-10,Energy_label!$H$12&lt;30),1,340/Energy_label!$Q$17))/10)+10^(J$126/10))+J$5</f>
        <v>#NUM!</v>
      </c>
      <c r="K130" s="44" t="e">
        <f>10*LOG(10^((K$124-K$5-datablad!M5*IF(AND(Energy_label!$H$12&gt;-10,Energy_label!$H$12&lt;30),1,340/Energy_label!$Q$17))/10)+10^(K$126/10))+K$5</f>
        <v>#NUM!</v>
      </c>
      <c r="L130" s="44" t="e">
        <f>10*LOG(10^((L$124-L$5-datablad!N5*IF(AND(Energy_label!$H$12&gt;-10,Energy_label!$H$12&lt;30),1,340/Energy_label!$Q$17))/10)+10^(L$126/10))+L$5</f>
        <v>#NUM!</v>
      </c>
      <c r="M130" s="46" t="e">
        <f t="shared" si="20"/>
        <v>#NUM!</v>
      </c>
      <c r="N130" s="31" t="e">
        <f>IF(M130&lt;Energy_label!N$8,1,0)</f>
        <v>#NUM!</v>
      </c>
      <c r="O130" s="60" t="e">
        <f>0.5*Energy_label!$N$17*Energy_label!$G$17^2*O$25</f>
        <v>#NUM!</v>
      </c>
      <c r="P130" s="60" t="e">
        <f>0.5*Energy_label!$N$17*Energy_label!$G$17^2*P$5*B130/1000</f>
        <v>#NUM!</v>
      </c>
      <c r="Q130" s="60" t="e">
        <f>0.5*Energy_label!$N$17*Energy_label!$G$17^2*Q$25</f>
        <v>#NUM!</v>
      </c>
      <c r="R130" s="62" t="e">
        <f t="shared" si="21"/>
        <v>#NUM!</v>
      </c>
    </row>
    <row r="131" spans="2:18" x14ac:dyDescent="0.15">
      <c r="B131">
        <v>1250</v>
      </c>
      <c r="C131" s="44" t="e">
        <f>10*LOG(10^((C$124-C$5-datablad!E6*IF(AND(Energy_label!$H$12&gt;-10,Energy_label!$H$12&lt;30),1,340/Energy_label!$Q$17))/10)+10^(C$126/10))+C$5</f>
        <v>#NUM!</v>
      </c>
      <c r="D131" s="44" t="e">
        <f>10*LOG(10^((D$124-D$5-datablad!F6*IF(AND(Energy_label!$H$12&gt;-10,Energy_label!$H$12&lt;30),1,340/Energy_label!$Q$17))/10)+10^(D$126/10))+D$5</f>
        <v>#NUM!</v>
      </c>
      <c r="E131" s="44" t="e">
        <f>10*LOG(10^((E$124-E$5-datablad!G6*IF(AND(Energy_label!$H$12&gt;-10,Energy_label!$H$12&lt;30),1,340/Energy_label!$Q$17))/10)+10^(E$126/10))+E$5</f>
        <v>#NUM!</v>
      </c>
      <c r="F131" s="44" t="e">
        <f>10*LOG(10^((F$124-F$5-datablad!H6*IF(AND(Energy_label!$H$12&gt;-10,Energy_label!$H$12&lt;30),1,340/Energy_label!$Q$17))/10)+10^(F$126/10))+F$5</f>
        <v>#NUM!</v>
      </c>
      <c r="G131" s="44" t="e">
        <f>10*LOG(10^((G$124-G$5-datablad!I6*IF(AND(Energy_label!$H$12&gt;-10,Energy_label!$H$12&lt;30),1,340/Energy_label!$Q$17))/10)+10^(G$126/10))+G$5</f>
        <v>#NUM!</v>
      </c>
      <c r="H131" s="44" t="e">
        <f>10*LOG(10^((H$124-H$5-datablad!J6*IF(AND(Energy_label!$H$12&gt;-10,Energy_label!$H$12&lt;30),1,340/Energy_label!$Q$17))/10)+10^(H$126/10))+H$5</f>
        <v>#NUM!</v>
      </c>
      <c r="I131" s="44" t="e">
        <f>10*LOG(10^((I$124-I$5-datablad!K6*IF(AND(Energy_label!$H$12&gt;-10,Energy_label!$H$12&lt;30),1,340/Energy_label!$Q$17))/10)+10^(I$126/10))+I$5</f>
        <v>#NUM!</v>
      </c>
      <c r="J131" s="44" t="e">
        <f>10*LOG(10^((J$124-J$5-datablad!L6*IF(AND(Energy_label!$H$12&gt;-10,Energy_label!$H$12&lt;30),1,340/Energy_label!$Q$17))/10)+10^(J$126/10))+J$5</f>
        <v>#NUM!</v>
      </c>
      <c r="K131" s="44" t="e">
        <f>10*LOG(10^((K$124-K$5-datablad!M6*IF(AND(Energy_label!$H$12&gt;-10,Energy_label!$H$12&lt;30),1,340/Energy_label!$Q$17))/10)+10^(K$126/10))+K$5</f>
        <v>#NUM!</v>
      </c>
      <c r="L131" s="44" t="e">
        <f>10*LOG(10^((L$124-L$5-datablad!N6*IF(AND(Energy_label!$H$12&gt;-10,Energy_label!$H$12&lt;30),1,340/Energy_label!$Q$17))/10)+10^(L$126/10))+L$5</f>
        <v>#NUM!</v>
      </c>
      <c r="M131" s="46" t="e">
        <f t="shared" si="20"/>
        <v>#NUM!</v>
      </c>
      <c r="N131" s="31" t="e">
        <f>IF(M131&lt;Energy_label!N$8,1,0)</f>
        <v>#NUM!</v>
      </c>
      <c r="O131" s="60" t="e">
        <f>0.5*Energy_label!$N$17*Energy_label!$G$17^2*O$25</f>
        <v>#NUM!</v>
      </c>
      <c r="P131" s="60" t="e">
        <f>0.5*Energy_label!$N$17*Energy_label!$G$17^2*P$5*B131/1000</f>
        <v>#NUM!</v>
      </c>
      <c r="Q131" s="60" t="e">
        <f>0.5*Energy_label!$N$17*Energy_label!$G$17^2*Q$25</f>
        <v>#NUM!</v>
      </c>
      <c r="R131" s="62" t="e">
        <f t="shared" si="21"/>
        <v>#NUM!</v>
      </c>
    </row>
    <row r="132" spans="2:18" x14ac:dyDescent="0.15">
      <c r="B132">
        <v>1500</v>
      </c>
      <c r="C132" s="44" t="e">
        <f>10*LOG(10^((C$124-C$5-datablad!E7*IF(AND(Energy_label!$H$12&gt;-10,Energy_label!$H$12&lt;30),1,340/Energy_label!$Q$17))/10)+10^(C$126/10))+C$5</f>
        <v>#NUM!</v>
      </c>
      <c r="D132" s="44" t="e">
        <f>10*LOG(10^((D$124-D$5-datablad!F7*IF(AND(Energy_label!$H$12&gt;-10,Energy_label!$H$12&lt;30),1,340/Energy_label!$Q$17))/10)+10^(D$126/10))+D$5</f>
        <v>#NUM!</v>
      </c>
      <c r="E132" s="44" t="e">
        <f>10*LOG(10^((E$124-E$5-datablad!G7*IF(AND(Energy_label!$H$12&gt;-10,Energy_label!$H$12&lt;30),1,340/Energy_label!$Q$17))/10)+10^(E$126/10))+E$5</f>
        <v>#NUM!</v>
      </c>
      <c r="F132" s="44" t="e">
        <f>10*LOG(10^((F$124-F$5-datablad!H7*IF(AND(Energy_label!$H$12&gt;-10,Energy_label!$H$12&lt;30),1,340/Energy_label!$Q$17))/10)+10^(F$126/10))+F$5</f>
        <v>#NUM!</v>
      </c>
      <c r="G132" s="44" t="e">
        <f>10*LOG(10^((G$124-G$5-datablad!I7*IF(AND(Energy_label!$H$12&gt;-10,Energy_label!$H$12&lt;30),1,340/Energy_label!$Q$17))/10)+10^(G$126/10))+G$5</f>
        <v>#NUM!</v>
      </c>
      <c r="H132" s="44" t="e">
        <f>10*LOG(10^((H$124-H$5-datablad!J7*IF(AND(Energy_label!$H$12&gt;-10,Energy_label!$H$12&lt;30),1,340/Energy_label!$Q$17))/10)+10^(H$126/10))+H$5</f>
        <v>#NUM!</v>
      </c>
      <c r="I132" s="44" t="e">
        <f>10*LOG(10^((I$124-I$5-datablad!K7*IF(AND(Energy_label!$H$12&gt;-10,Energy_label!$H$12&lt;30),1,340/Energy_label!$Q$17))/10)+10^(I$126/10))+I$5</f>
        <v>#NUM!</v>
      </c>
      <c r="J132" s="44" t="e">
        <f>10*LOG(10^((J$124-J$5-datablad!L7*IF(AND(Energy_label!$H$12&gt;-10,Energy_label!$H$12&lt;30),1,340/Energy_label!$Q$17))/10)+10^(J$126/10))+J$5</f>
        <v>#NUM!</v>
      </c>
      <c r="K132" s="44" t="e">
        <f>10*LOG(10^((K$124-K$5-datablad!M7*IF(AND(Energy_label!$H$12&gt;-10,Energy_label!$H$12&lt;30),1,340/Energy_label!$Q$17))/10)+10^(K$126/10))+K$5</f>
        <v>#NUM!</v>
      </c>
      <c r="L132" s="44" t="e">
        <f>10*LOG(10^((L$124-L$5-datablad!N7*IF(AND(Energy_label!$H$12&gt;-10,Energy_label!$H$12&lt;30),1,340/Energy_label!$Q$17))/10)+10^(L$126/10))+L$5</f>
        <v>#NUM!</v>
      </c>
      <c r="M132" s="46" t="e">
        <f t="shared" si="20"/>
        <v>#NUM!</v>
      </c>
      <c r="N132" s="31" t="e">
        <f>IF(M132&lt;Energy_label!N$8,1,0)</f>
        <v>#NUM!</v>
      </c>
      <c r="O132" s="60" t="e">
        <f>0.5*Energy_label!$N$17*Energy_label!$G$17^2*O$25</f>
        <v>#NUM!</v>
      </c>
      <c r="P132" s="60" t="e">
        <f>0.5*Energy_label!$N$17*Energy_label!$G$17^2*P$5*B132/1000</f>
        <v>#NUM!</v>
      </c>
      <c r="Q132" s="60" t="e">
        <f>0.5*Energy_label!$N$17*Energy_label!$G$17^2*Q$25</f>
        <v>#NUM!</v>
      </c>
      <c r="R132" s="62" t="e">
        <f t="shared" si="21"/>
        <v>#NUM!</v>
      </c>
    </row>
    <row r="133" spans="2:18" x14ac:dyDescent="0.15">
      <c r="B133">
        <v>1750</v>
      </c>
      <c r="C133" s="44" t="e">
        <f>10*LOG(10^((C$124-C$5-datablad!E8*IF(AND(Energy_label!$H$12&gt;-10,Energy_label!$H$12&lt;30),1,340/Energy_label!$Q$17))/10)+10^(C$126/10))+C$5</f>
        <v>#NUM!</v>
      </c>
      <c r="D133" s="44" t="e">
        <f>10*LOG(10^((D$124-D$5-datablad!F8*IF(AND(Energy_label!$H$12&gt;-10,Energy_label!$H$12&lt;30),1,340/Energy_label!$Q$17))/10)+10^(D$126/10))+D$5</f>
        <v>#NUM!</v>
      </c>
      <c r="E133" s="44" t="e">
        <f>10*LOG(10^((E$124-E$5-datablad!G8*IF(AND(Energy_label!$H$12&gt;-10,Energy_label!$H$12&lt;30),1,340/Energy_label!$Q$17))/10)+10^(E$126/10))+E$5</f>
        <v>#NUM!</v>
      </c>
      <c r="F133" s="44" t="e">
        <f>10*LOG(10^((F$124-F$5-datablad!H8*IF(AND(Energy_label!$H$12&gt;-10,Energy_label!$H$12&lt;30),1,340/Energy_label!$Q$17))/10)+10^(F$126/10))+F$5</f>
        <v>#NUM!</v>
      </c>
      <c r="G133" s="44" t="e">
        <f>10*LOG(10^((G$124-G$5-datablad!I8*IF(AND(Energy_label!$H$12&gt;-10,Energy_label!$H$12&lt;30),1,340/Energy_label!$Q$17))/10)+10^(G$126/10))+G$5</f>
        <v>#NUM!</v>
      </c>
      <c r="H133" s="44" t="e">
        <f>10*LOG(10^((H$124-H$5-datablad!J8*IF(AND(Energy_label!$H$12&gt;-10,Energy_label!$H$12&lt;30),1,340/Energy_label!$Q$17))/10)+10^(H$126/10))+H$5</f>
        <v>#NUM!</v>
      </c>
      <c r="I133" s="44" t="e">
        <f>10*LOG(10^((I$124-I$5-datablad!K8*IF(AND(Energy_label!$H$12&gt;-10,Energy_label!$H$12&lt;30),1,340/Energy_label!$Q$17))/10)+10^(I$126/10))+I$5</f>
        <v>#NUM!</v>
      </c>
      <c r="J133" s="44" t="e">
        <f>10*LOG(10^((J$124-J$5-datablad!L8*IF(AND(Energy_label!$H$12&gt;-10,Energy_label!$H$12&lt;30),1,340/Energy_label!$Q$17))/10)+10^(J$126/10))+J$5</f>
        <v>#NUM!</v>
      </c>
      <c r="K133" s="44" t="e">
        <f>10*LOG(10^((K$124-K$5-datablad!M8*IF(AND(Energy_label!$H$12&gt;-10,Energy_label!$H$12&lt;30),1,340/Energy_label!$Q$17))/10)+10^(K$126/10))+K$5</f>
        <v>#NUM!</v>
      </c>
      <c r="L133" s="44" t="e">
        <f>10*LOG(10^((L$124-L$5-datablad!N8*IF(AND(Energy_label!$H$12&gt;-10,Energy_label!$H$12&lt;30),1,340/Energy_label!$Q$17))/10)+10^(L$126/10))+L$5</f>
        <v>#NUM!</v>
      </c>
      <c r="M133" s="46" t="e">
        <f t="shared" si="20"/>
        <v>#NUM!</v>
      </c>
      <c r="N133" s="31" t="e">
        <f>IF(M133&lt;Energy_label!N$8,1,0)</f>
        <v>#NUM!</v>
      </c>
      <c r="O133" s="60" t="e">
        <f>0.5*Energy_label!$N$17*Energy_label!$G$17^2*O$25</f>
        <v>#NUM!</v>
      </c>
      <c r="P133" s="60" t="e">
        <f>0.5*Energy_label!$N$17*Energy_label!$G$17^2*P$5*B133/1000</f>
        <v>#NUM!</v>
      </c>
      <c r="Q133" s="60" t="e">
        <f>0.5*Energy_label!$N$17*Energy_label!$G$17^2*Q$25</f>
        <v>#NUM!</v>
      </c>
      <c r="R133" s="62" t="e">
        <f t="shared" si="21"/>
        <v>#NUM!</v>
      </c>
    </row>
    <row r="134" spans="2:18" x14ac:dyDescent="0.15">
      <c r="B134">
        <v>2000</v>
      </c>
      <c r="C134" s="44" t="e">
        <f>10*LOG(10^((C$124-C$5-datablad!E9*IF(AND(Energy_label!$H$12&gt;-10,Energy_label!$H$12&lt;30),1,340/Energy_label!$Q$17))/10)+10^(C$126/10))+C$5</f>
        <v>#NUM!</v>
      </c>
      <c r="D134" s="44" t="e">
        <f>10*LOG(10^((D$124-D$5-datablad!F9*IF(AND(Energy_label!$H$12&gt;-10,Energy_label!$H$12&lt;30),1,340/Energy_label!$Q$17))/10)+10^(D$126/10))+D$5</f>
        <v>#NUM!</v>
      </c>
      <c r="E134" s="44" t="e">
        <f>10*LOG(10^((E$124-E$5-datablad!G9*IF(AND(Energy_label!$H$12&gt;-10,Energy_label!$H$12&lt;30),1,340/Energy_label!$Q$17))/10)+10^(E$126/10))+E$5</f>
        <v>#NUM!</v>
      </c>
      <c r="F134" s="44" t="e">
        <f>10*LOG(10^((F$124-F$5-datablad!H9*IF(AND(Energy_label!$H$12&gt;-10,Energy_label!$H$12&lt;30),1,340/Energy_label!$Q$17))/10)+10^(F$126/10))+F$5</f>
        <v>#NUM!</v>
      </c>
      <c r="G134" s="44" t="e">
        <f>10*LOG(10^((G$124-G$5-datablad!I9*IF(AND(Energy_label!$H$12&gt;-10,Energy_label!$H$12&lt;30),1,340/Energy_label!$Q$17))/10)+10^(G$126/10))+G$5</f>
        <v>#NUM!</v>
      </c>
      <c r="H134" s="44" t="e">
        <f>10*LOG(10^((H$124-H$5-datablad!J9*IF(AND(Energy_label!$H$12&gt;-10,Energy_label!$H$12&lt;30),1,340/Energy_label!$Q$17))/10)+10^(H$126/10))+H$5</f>
        <v>#NUM!</v>
      </c>
      <c r="I134" s="44" t="e">
        <f>10*LOG(10^((I$124-I$5-datablad!K9*IF(AND(Energy_label!$H$12&gt;-10,Energy_label!$H$12&lt;30),1,340/Energy_label!$Q$17))/10)+10^(I$126/10))+I$5</f>
        <v>#NUM!</v>
      </c>
      <c r="J134" s="44" t="e">
        <f>10*LOG(10^((J$124-J$5-datablad!L9*IF(AND(Energy_label!$H$12&gt;-10,Energy_label!$H$12&lt;30),1,340/Energy_label!$Q$17))/10)+10^(J$126/10))+J$5</f>
        <v>#NUM!</v>
      </c>
      <c r="K134" s="44" t="e">
        <f>10*LOG(10^((K$124-K$5-datablad!M9*IF(AND(Energy_label!$H$12&gt;-10,Energy_label!$H$12&lt;30),1,340/Energy_label!$Q$17))/10)+10^(K$126/10))+K$5</f>
        <v>#NUM!</v>
      </c>
      <c r="L134" s="44" t="e">
        <f>10*LOG(10^((L$124-L$5-datablad!N9*IF(AND(Energy_label!$H$12&gt;-10,Energy_label!$H$12&lt;30),1,340/Energy_label!$Q$17))/10)+10^(L$126/10))+L$5</f>
        <v>#NUM!</v>
      </c>
      <c r="M134" s="46" t="e">
        <f t="shared" si="20"/>
        <v>#NUM!</v>
      </c>
      <c r="N134" s="31" t="e">
        <f>IF(M134&lt;Energy_label!N$8,1,0)</f>
        <v>#NUM!</v>
      </c>
      <c r="O134" s="60" t="e">
        <f>0.5*Energy_label!$N$17*Energy_label!$G$17^2*O$25</f>
        <v>#NUM!</v>
      </c>
      <c r="P134" s="60" t="e">
        <f>0.5*Energy_label!$N$17*Energy_label!$G$17^2*P$5*B134/1000</f>
        <v>#NUM!</v>
      </c>
      <c r="Q134" s="60" t="e">
        <f>0.5*Energy_label!$N$17*Energy_label!$G$17^2*Q$25</f>
        <v>#NUM!</v>
      </c>
      <c r="R134" s="62" t="e">
        <f t="shared" si="21"/>
        <v>#NUM!</v>
      </c>
    </row>
    <row r="135" spans="2:18" x14ac:dyDescent="0.15">
      <c r="B135">
        <v>2250</v>
      </c>
      <c r="C135" s="44" t="e">
        <f>10*LOG(10^((C$124-C$5-datablad!E10*IF(AND(Energy_label!$H$12&gt;-10,Energy_label!$H$12&lt;30),1,340/Energy_label!$Q$17))/10)+10^(C$126/10))+C$5</f>
        <v>#NUM!</v>
      </c>
      <c r="D135" s="44" t="e">
        <f>10*LOG(10^((D$124-D$5-datablad!F10*IF(AND(Energy_label!$H$12&gt;-10,Energy_label!$H$12&lt;30),1,340/Energy_label!$Q$17))/10)+10^(D$126/10))+D$5</f>
        <v>#NUM!</v>
      </c>
      <c r="E135" s="44" t="e">
        <f>10*LOG(10^((E$124-E$5-datablad!G10*IF(AND(Energy_label!$H$12&gt;-10,Energy_label!$H$12&lt;30),1,340/Energy_label!$Q$17))/10)+10^(E$126/10))+E$5</f>
        <v>#NUM!</v>
      </c>
      <c r="F135" s="44" t="e">
        <f>10*LOG(10^((F$124-F$5-datablad!H10*IF(AND(Energy_label!$H$12&gt;-10,Energy_label!$H$12&lt;30),1,340/Energy_label!$Q$17))/10)+10^(F$126/10))+F$5</f>
        <v>#NUM!</v>
      </c>
      <c r="G135" s="44" t="e">
        <f>10*LOG(10^((G$124-G$5-datablad!I10*IF(AND(Energy_label!$H$12&gt;-10,Energy_label!$H$12&lt;30),1,340/Energy_label!$Q$17))/10)+10^(G$126/10))+G$5</f>
        <v>#NUM!</v>
      </c>
      <c r="H135" s="44" t="e">
        <f>10*LOG(10^((H$124-H$5-datablad!J10*IF(AND(Energy_label!$H$12&gt;-10,Energy_label!$H$12&lt;30),1,340/Energy_label!$Q$17))/10)+10^(H$126/10))+H$5</f>
        <v>#NUM!</v>
      </c>
      <c r="I135" s="44" t="e">
        <f>10*LOG(10^((I$124-I$5-datablad!K10*IF(AND(Energy_label!$H$12&gt;-10,Energy_label!$H$12&lt;30),1,340/Energy_label!$Q$17))/10)+10^(I$126/10))+I$5</f>
        <v>#NUM!</v>
      </c>
      <c r="J135" s="44" t="e">
        <f>10*LOG(10^((J$124-J$5-datablad!L10*IF(AND(Energy_label!$H$12&gt;-10,Energy_label!$H$12&lt;30),1,340/Energy_label!$Q$17))/10)+10^(J$126/10))+J$5</f>
        <v>#NUM!</v>
      </c>
      <c r="K135" s="44" t="e">
        <f>10*LOG(10^((K$124-K$5-datablad!M10*IF(AND(Energy_label!$H$12&gt;-10,Energy_label!$H$12&lt;30),1,340/Energy_label!$Q$17))/10)+10^(K$126/10))+K$5</f>
        <v>#NUM!</v>
      </c>
      <c r="L135" s="44" t="e">
        <f>10*LOG(10^((L$124-L$5-datablad!N10*IF(AND(Energy_label!$H$12&gt;-10,Energy_label!$H$12&lt;30),1,340/Energy_label!$Q$17))/10)+10^(L$126/10))+L$5</f>
        <v>#NUM!</v>
      </c>
      <c r="M135" s="46" t="e">
        <f t="shared" si="20"/>
        <v>#NUM!</v>
      </c>
      <c r="N135" s="31" t="e">
        <f>IF(M135&lt;Energy_label!N$8,1,0)</f>
        <v>#NUM!</v>
      </c>
      <c r="O135" s="60" t="e">
        <f>0.5*Energy_label!$N$17*Energy_label!$G$17^2*O$25</f>
        <v>#NUM!</v>
      </c>
      <c r="P135" s="60" t="e">
        <f>0.5*Energy_label!$N$17*Energy_label!$G$17^2*P$5*B135/1000</f>
        <v>#NUM!</v>
      </c>
      <c r="Q135" s="60" t="e">
        <f>0.5*Energy_label!$N$17*Energy_label!$G$17^2*Q$25</f>
        <v>#NUM!</v>
      </c>
      <c r="R135" s="62" t="e">
        <f t="shared" si="21"/>
        <v>#NUM!</v>
      </c>
    </row>
    <row r="136" spans="2:18" x14ac:dyDescent="0.15">
      <c r="B136">
        <v>2500</v>
      </c>
      <c r="C136" s="44" t="e">
        <f>10*LOG(10^((C$124-C$5-datablad!E11*IF(AND(Energy_label!$H$12&gt;-10,Energy_label!$H$12&lt;30),1,340/Energy_label!$Q$17))/10)+10^(C$126/10))+C$5</f>
        <v>#NUM!</v>
      </c>
      <c r="D136" s="44" t="e">
        <f>10*LOG(10^((D$124-D$5-datablad!F11*IF(AND(Energy_label!$H$12&gt;-10,Energy_label!$H$12&lt;30),1,340/Energy_label!$Q$17))/10)+10^(D$126/10))+D$5</f>
        <v>#NUM!</v>
      </c>
      <c r="E136" s="44" t="e">
        <f>10*LOG(10^((E$124-E$5-datablad!G11*IF(AND(Energy_label!$H$12&gt;-10,Energy_label!$H$12&lt;30),1,340/Energy_label!$Q$17))/10)+10^(E$126/10))+E$5</f>
        <v>#NUM!</v>
      </c>
      <c r="F136" s="44" t="e">
        <f>10*LOG(10^((F$124-F$5-datablad!H11*IF(AND(Energy_label!$H$12&gt;-10,Energy_label!$H$12&lt;30),1,340/Energy_label!$Q$17))/10)+10^(F$126/10))+F$5</f>
        <v>#NUM!</v>
      </c>
      <c r="G136" s="44" t="e">
        <f>10*LOG(10^((G$124-G$5-datablad!I11*IF(AND(Energy_label!$H$12&gt;-10,Energy_label!$H$12&lt;30),1,340/Energy_label!$Q$17))/10)+10^(G$126/10))+G$5</f>
        <v>#NUM!</v>
      </c>
      <c r="H136" s="44" t="e">
        <f>10*LOG(10^((H$124-H$5-datablad!J11*IF(AND(Energy_label!$H$12&gt;-10,Energy_label!$H$12&lt;30),1,340/Energy_label!$Q$17))/10)+10^(H$126/10))+H$5</f>
        <v>#NUM!</v>
      </c>
      <c r="I136" s="44" t="e">
        <f>10*LOG(10^((I$124-I$5-datablad!K11*IF(AND(Energy_label!$H$12&gt;-10,Energy_label!$H$12&lt;30),1,340/Energy_label!$Q$17))/10)+10^(I$126/10))+I$5</f>
        <v>#NUM!</v>
      </c>
      <c r="J136" s="44" t="e">
        <f>10*LOG(10^((J$124-J$5-datablad!L11*IF(AND(Energy_label!$H$12&gt;-10,Energy_label!$H$12&lt;30),1,340/Energy_label!$Q$17))/10)+10^(J$126/10))+J$5</f>
        <v>#NUM!</v>
      </c>
      <c r="K136" s="44" t="e">
        <f>10*LOG(10^((K$124-K$5-datablad!M11*IF(AND(Energy_label!$H$12&gt;-10,Energy_label!$H$12&lt;30),1,340/Energy_label!$Q$17))/10)+10^(K$126/10))+K$5</f>
        <v>#NUM!</v>
      </c>
      <c r="L136" s="44" t="e">
        <f>10*LOG(10^((L$124-L$5-datablad!N11*IF(AND(Energy_label!$H$12&gt;-10,Energy_label!$H$12&lt;30),1,340/Energy_label!$Q$17))/10)+10^(L$126/10))+L$5</f>
        <v>#NUM!</v>
      </c>
      <c r="M136" s="46" t="e">
        <f t="shared" si="20"/>
        <v>#NUM!</v>
      </c>
      <c r="N136" s="31" t="e">
        <f>IF(M136&lt;Energy_label!N$8,1,0)</f>
        <v>#NUM!</v>
      </c>
      <c r="O136" s="60" t="e">
        <f>0.5*Energy_label!$N$17*Energy_label!$G$17^2*O$25</f>
        <v>#NUM!</v>
      </c>
      <c r="P136" s="60" t="e">
        <f>0.5*Energy_label!$N$17*Energy_label!$G$17^2*P$5*B136/1000</f>
        <v>#NUM!</v>
      </c>
      <c r="Q136" s="60" t="e">
        <f>0.5*Energy_label!$N$17*Energy_label!$G$17^2*Q$25</f>
        <v>#NUM!</v>
      </c>
      <c r="R136" s="62" t="e">
        <f t="shared" si="21"/>
        <v>#NUM!</v>
      </c>
    </row>
    <row r="137" spans="2:18" x14ac:dyDescent="0.15">
      <c r="B137">
        <v>2750</v>
      </c>
      <c r="C137" s="44" t="e">
        <f>10*LOG(10^((C$124-C$5-datablad!E12*IF(AND(Energy_label!$H$12&gt;-10,Energy_label!$H$12&lt;30),1,340/Energy_label!$Q$17))/10)+10^(C$126/10))+C$5</f>
        <v>#NUM!</v>
      </c>
      <c r="D137" s="44" t="e">
        <f>10*LOG(10^((D$124-D$5-datablad!F12*IF(AND(Energy_label!$H$12&gt;-10,Energy_label!$H$12&lt;30),1,340/Energy_label!$Q$17))/10)+10^(D$126/10))+D$5</f>
        <v>#NUM!</v>
      </c>
      <c r="E137" s="44" t="e">
        <f>10*LOG(10^((E$124-E$5-datablad!G12*IF(AND(Energy_label!$H$12&gt;-10,Energy_label!$H$12&lt;30),1,340/Energy_label!$Q$17))/10)+10^(E$126/10))+E$5</f>
        <v>#NUM!</v>
      </c>
      <c r="F137" s="44" t="e">
        <f>10*LOG(10^((F$124-F$5-datablad!H12*IF(AND(Energy_label!$H$12&gt;-10,Energy_label!$H$12&lt;30),1,340/Energy_label!$Q$17))/10)+10^(F$126/10))+F$5</f>
        <v>#NUM!</v>
      </c>
      <c r="G137" s="44" t="e">
        <f>10*LOG(10^((G$124-G$5-datablad!I12*IF(AND(Energy_label!$H$12&gt;-10,Energy_label!$H$12&lt;30),1,340/Energy_label!$Q$17))/10)+10^(G$126/10))+G$5</f>
        <v>#NUM!</v>
      </c>
      <c r="H137" s="44" t="e">
        <f>10*LOG(10^((H$124-H$5-datablad!J12*IF(AND(Energy_label!$H$12&gt;-10,Energy_label!$H$12&lt;30),1,340/Energy_label!$Q$17))/10)+10^(H$126/10))+H$5</f>
        <v>#NUM!</v>
      </c>
      <c r="I137" s="44" t="e">
        <f>10*LOG(10^((I$124-I$5-datablad!K12*IF(AND(Energy_label!$H$12&gt;-10,Energy_label!$H$12&lt;30),1,340/Energy_label!$Q$17))/10)+10^(I$126/10))+I$5</f>
        <v>#NUM!</v>
      </c>
      <c r="J137" s="44" t="e">
        <f>10*LOG(10^((J$124-J$5-datablad!L12*IF(AND(Energy_label!$H$12&gt;-10,Energy_label!$H$12&lt;30),1,340/Energy_label!$Q$17))/10)+10^(J$126/10))+J$5</f>
        <v>#NUM!</v>
      </c>
      <c r="K137" s="44" t="e">
        <f>10*LOG(10^((K$124-K$5-datablad!M12*IF(AND(Energy_label!$H$12&gt;-10,Energy_label!$H$12&lt;30),1,340/Energy_label!$Q$17))/10)+10^(K$126/10))+K$5</f>
        <v>#NUM!</v>
      </c>
      <c r="L137" s="44" t="e">
        <f>10*LOG(10^((L$124-L$5-datablad!N12*IF(AND(Energy_label!$H$12&gt;-10,Energy_label!$H$12&lt;30),1,340/Energy_label!$Q$17))/10)+10^(L$126/10))+L$5</f>
        <v>#NUM!</v>
      </c>
      <c r="M137" s="46" t="e">
        <f t="shared" si="20"/>
        <v>#NUM!</v>
      </c>
      <c r="N137" s="31" t="e">
        <f>IF(M137&lt;Energy_label!N$8,1,0)</f>
        <v>#NUM!</v>
      </c>
      <c r="O137" s="60" t="e">
        <f>0.5*Energy_label!$N$17*Energy_label!$G$17^2*O$25</f>
        <v>#NUM!</v>
      </c>
      <c r="P137" s="60" t="e">
        <f>0.5*Energy_label!$N$17*Energy_label!$G$17^2*P$5*B137/1000</f>
        <v>#NUM!</v>
      </c>
      <c r="Q137" s="60" t="e">
        <f>0.5*Energy_label!$N$17*Energy_label!$G$17^2*Q$25</f>
        <v>#NUM!</v>
      </c>
      <c r="R137" s="62" t="e">
        <f t="shared" si="21"/>
        <v>#NUM!</v>
      </c>
    </row>
    <row r="138" spans="2:18" x14ac:dyDescent="0.15">
      <c r="B138">
        <v>3000</v>
      </c>
      <c r="C138" s="44" t="e">
        <f>10*LOG(10^((C$124-C$5-datablad!E13*IF(AND(Energy_label!$H$12&gt;-10,Energy_label!$H$12&lt;30),1,340/Energy_label!$Q$17))/10)+10^(C$126/10))+C$5</f>
        <v>#NUM!</v>
      </c>
      <c r="D138" s="44" t="e">
        <f>10*LOG(10^((D$124-D$5-datablad!F13*IF(AND(Energy_label!$H$12&gt;-10,Energy_label!$H$12&lt;30),1,340/Energy_label!$Q$17))/10)+10^(D$126/10))+D$5</f>
        <v>#NUM!</v>
      </c>
      <c r="E138" s="44" t="e">
        <f>10*LOG(10^((E$124-E$5-datablad!G13*IF(AND(Energy_label!$H$12&gt;-10,Energy_label!$H$12&lt;30),1,340/Energy_label!$Q$17))/10)+10^(E$126/10))+E$5</f>
        <v>#NUM!</v>
      </c>
      <c r="F138" s="44" t="e">
        <f>10*LOG(10^((F$124-F$5-datablad!H13*IF(AND(Energy_label!$H$12&gt;-10,Energy_label!$H$12&lt;30),1,340/Energy_label!$Q$17))/10)+10^(F$126/10))+F$5</f>
        <v>#NUM!</v>
      </c>
      <c r="G138" s="44" t="e">
        <f>10*LOG(10^((G$124-G$5-datablad!I13*IF(AND(Energy_label!$H$12&gt;-10,Energy_label!$H$12&lt;30),1,340/Energy_label!$Q$17))/10)+10^(G$126/10))+G$5</f>
        <v>#NUM!</v>
      </c>
      <c r="H138" s="44" t="e">
        <f>10*LOG(10^((H$124-H$5-datablad!J13*IF(AND(Energy_label!$H$12&gt;-10,Energy_label!$H$12&lt;30),1,340/Energy_label!$Q$17))/10)+10^(H$126/10))+H$5</f>
        <v>#NUM!</v>
      </c>
      <c r="I138" s="44" t="e">
        <f>10*LOG(10^((I$124-I$5-datablad!K13*IF(AND(Energy_label!$H$12&gt;-10,Energy_label!$H$12&lt;30),1,340/Energy_label!$Q$17))/10)+10^(I$126/10))+I$5</f>
        <v>#NUM!</v>
      </c>
      <c r="J138" s="44" t="e">
        <f>10*LOG(10^((J$124-J$5-datablad!L13*IF(AND(Energy_label!$H$12&gt;-10,Energy_label!$H$12&lt;30),1,340/Energy_label!$Q$17))/10)+10^(J$126/10))+J$5</f>
        <v>#NUM!</v>
      </c>
      <c r="K138" s="44" t="e">
        <f>10*LOG(10^((K$124-K$5-datablad!M13*IF(AND(Energy_label!$H$12&gt;-10,Energy_label!$H$12&lt;30),1,340/Energy_label!$Q$17))/10)+10^(K$126/10))+K$5</f>
        <v>#NUM!</v>
      </c>
      <c r="L138" s="44" t="e">
        <f>10*LOG(10^((L$124-L$5-datablad!N13*IF(AND(Energy_label!$H$12&gt;-10,Energy_label!$H$12&lt;30),1,340/Energy_label!$Q$17))/10)+10^(L$126/10))+L$5</f>
        <v>#NUM!</v>
      </c>
      <c r="M138" s="46" t="e">
        <f t="shared" si="20"/>
        <v>#NUM!</v>
      </c>
      <c r="N138" s="31" t="e">
        <f>IF(M138&lt;Energy_label!N$8,1,0)</f>
        <v>#NUM!</v>
      </c>
      <c r="O138" s="60" t="e">
        <f>0.5*Energy_label!$N$17*Energy_label!$G$17^2*O$25</f>
        <v>#NUM!</v>
      </c>
      <c r="P138" s="60" t="e">
        <f>0.5*Energy_label!$N$17*Energy_label!$G$17^2*P$5*B138/1000</f>
        <v>#NUM!</v>
      </c>
      <c r="Q138" s="60" t="e">
        <f>0.5*Energy_label!$N$17*Energy_label!$G$17^2*Q$25</f>
        <v>#NUM!</v>
      </c>
      <c r="R138" s="62" t="e">
        <f t="shared" si="21"/>
        <v>#NUM!</v>
      </c>
    </row>
    <row r="139" spans="2:18" x14ac:dyDescent="0.15">
      <c r="B139">
        <v>3250</v>
      </c>
      <c r="C139" s="44" t="e">
        <f>10*LOG(10^((C$124-C$5-datablad!E14*IF(AND(Energy_label!$H$12&gt;-10,Energy_label!$H$12&lt;30),1,340/Energy_label!$Q$17))/10)+10^(C$126/10))+C$5</f>
        <v>#NUM!</v>
      </c>
      <c r="D139" s="44" t="e">
        <f>10*LOG(10^((D$124-D$5-datablad!F14*IF(AND(Energy_label!$H$12&gt;-10,Energy_label!$H$12&lt;30),1,340/Energy_label!$Q$17))/10)+10^(D$126/10))+D$5</f>
        <v>#NUM!</v>
      </c>
      <c r="E139" s="44" t="e">
        <f>10*LOG(10^((E$124-E$5-datablad!G14*IF(AND(Energy_label!$H$12&gt;-10,Energy_label!$H$12&lt;30),1,340/Energy_label!$Q$17))/10)+10^(E$126/10))+E$5</f>
        <v>#NUM!</v>
      </c>
      <c r="F139" s="44" t="e">
        <f>10*LOG(10^((F$124-F$5-datablad!H14*IF(AND(Energy_label!$H$12&gt;-10,Energy_label!$H$12&lt;30),1,340/Energy_label!$Q$17))/10)+10^(F$126/10))+F$5</f>
        <v>#NUM!</v>
      </c>
      <c r="G139" s="44" t="e">
        <f>10*LOG(10^((G$124-G$5-datablad!I14*IF(AND(Energy_label!$H$12&gt;-10,Energy_label!$H$12&lt;30),1,340/Energy_label!$Q$17))/10)+10^(G$126/10))+G$5</f>
        <v>#NUM!</v>
      </c>
      <c r="H139" s="44" t="e">
        <f>10*LOG(10^((H$124-H$5-datablad!J14*IF(AND(Energy_label!$H$12&gt;-10,Energy_label!$H$12&lt;30),1,340/Energy_label!$Q$17))/10)+10^(H$126/10))+H$5</f>
        <v>#NUM!</v>
      </c>
      <c r="I139" s="44" t="e">
        <f>10*LOG(10^((I$124-I$5-datablad!K14*IF(AND(Energy_label!$H$12&gt;-10,Energy_label!$H$12&lt;30),1,340/Energy_label!$Q$17))/10)+10^(I$126/10))+I$5</f>
        <v>#NUM!</v>
      </c>
      <c r="J139" s="44" t="e">
        <f>10*LOG(10^((J$124-J$5-datablad!L14*IF(AND(Energy_label!$H$12&gt;-10,Energy_label!$H$12&lt;30),1,340/Energy_label!$Q$17))/10)+10^(J$126/10))+J$5</f>
        <v>#NUM!</v>
      </c>
      <c r="K139" s="44" t="e">
        <f>10*LOG(10^((K$124-K$5-datablad!M14*IF(AND(Energy_label!$H$12&gt;-10,Energy_label!$H$12&lt;30),1,340/Energy_label!$Q$17))/10)+10^(K$126/10))+K$5</f>
        <v>#NUM!</v>
      </c>
      <c r="L139" s="44" t="e">
        <f>10*LOG(10^((L$124-L$5-datablad!N14*IF(AND(Energy_label!$H$12&gt;-10,Energy_label!$H$12&lt;30),1,340/Energy_label!$Q$17))/10)+10^(L$126/10))+L$5</f>
        <v>#NUM!</v>
      </c>
      <c r="M139" s="46" t="e">
        <f t="shared" si="20"/>
        <v>#NUM!</v>
      </c>
      <c r="N139" s="31" t="e">
        <f>IF(M139&lt;Energy_label!N$8,1,0)</f>
        <v>#NUM!</v>
      </c>
      <c r="O139" s="60" t="e">
        <f>0.5*Energy_label!$N$17*Energy_label!$G$17^2*O$25</f>
        <v>#NUM!</v>
      </c>
      <c r="P139" s="60" t="e">
        <f>0.5*Energy_label!$N$17*Energy_label!$G$17^2*P$5*B139/1000</f>
        <v>#NUM!</v>
      </c>
      <c r="Q139" s="60" t="e">
        <f>0.5*Energy_label!$N$17*Energy_label!$G$17^2*Q$25</f>
        <v>#NUM!</v>
      </c>
      <c r="R139" s="62" t="e">
        <f t="shared" si="21"/>
        <v>#NUM!</v>
      </c>
    </row>
    <row r="140" spans="2:18" x14ac:dyDescent="0.15">
      <c r="B140">
        <v>3500</v>
      </c>
      <c r="C140" s="44" t="e">
        <f>10*LOG(10^((C$124-C$5-datablad!E15*IF(AND(Energy_label!$H$12&gt;-10,Energy_label!$H$12&lt;30),1,340/Energy_label!$Q$17))/10)+10^(C$126/10))+C$5</f>
        <v>#NUM!</v>
      </c>
      <c r="D140" s="44" t="e">
        <f>10*LOG(10^((D$124-D$5-datablad!F15*IF(AND(Energy_label!$H$12&gt;-10,Energy_label!$H$12&lt;30),1,340/Energy_label!$Q$17))/10)+10^(D$126/10))+D$5</f>
        <v>#NUM!</v>
      </c>
      <c r="E140" s="44" t="e">
        <f>10*LOG(10^((E$124-E$5-datablad!G15*IF(AND(Energy_label!$H$12&gt;-10,Energy_label!$H$12&lt;30),1,340/Energy_label!$Q$17))/10)+10^(E$126/10))+E$5</f>
        <v>#NUM!</v>
      </c>
      <c r="F140" s="44" t="e">
        <f>10*LOG(10^((F$124-F$5-datablad!H15*IF(AND(Energy_label!$H$12&gt;-10,Energy_label!$H$12&lt;30),1,340/Energy_label!$Q$17))/10)+10^(F$126/10))+F$5</f>
        <v>#NUM!</v>
      </c>
      <c r="G140" s="44" t="e">
        <f>10*LOG(10^((G$124-G$5-datablad!I15*IF(AND(Energy_label!$H$12&gt;-10,Energy_label!$H$12&lt;30),1,340/Energy_label!$Q$17))/10)+10^(G$126/10))+G$5</f>
        <v>#NUM!</v>
      </c>
      <c r="H140" s="44" t="e">
        <f>10*LOG(10^((H$124-H$5-datablad!J15*IF(AND(Energy_label!$H$12&gt;-10,Energy_label!$H$12&lt;30),1,340/Energy_label!$Q$17))/10)+10^(H$126/10))+H$5</f>
        <v>#NUM!</v>
      </c>
      <c r="I140" s="44" t="e">
        <f>10*LOG(10^((I$124-I$5-datablad!K15*IF(AND(Energy_label!$H$12&gt;-10,Energy_label!$H$12&lt;30),1,340/Energy_label!$Q$17))/10)+10^(I$126/10))+I$5</f>
        <v>#NUM!</v>
      </c>
      <c r="J140" s="44" t="e">
        <f>10*LOG(10^((J$124-J$5-datablad!L15*IF(AND(Energy_label!$H$12&gt;-10,Energy_label!$H$12&lt;30),1,340/Energy_label!$Q$17))/10)+10^(J$126/10))+J$5</f>
        <v>#NUM!</v>
      </c>
      <c r="K140" s="44" t="e">
        <f>10*LOG(10^((K$124-K$5-datablad!M15*IF(AND(Energy_label!$H$12&gt;-10,Energy_label!$H$12&lt;30),1,340/Energy_label!$Q$17))/10)+10^(K$126/10))+K$5</f>
        <v>#NUM!</v>
      </c>
      <c r="L140" s="44" t="e">
        <f>10*LOG(10^((L$124-L$5-datablad!N15*IF(AND(Energy_label!$H$12&gt;-10,Energy_label!$H$12&lt;30),1,340/Energy_label!$Q$17))/10)+10^(L$126/10))+L$5</f>
        <v>#NUM!</v>
      </c>
      <c r="M140" s="46" t="e">
        <f t="shared" si="20"/>
        <v>#NUM!</v>
      </c>
      <c r="N140" s="31" t="e">
        <f>IF(M140&lt;Energy_label!N$8,1,0)</f>
        <v>#NUM!</v>
      </c>
      <c r="O140" s="60" t="e">
        <f>0.5*Energy_label!$N$17*Energy_label!$G$17^2*O$25</f>
        <v>#NUM!</v>
      </c>
      <c r="P140" s="60" t="e">
        <f>0.5*Energy_label!$N$17*Energy_label!$G$17^2*P$5*B140/1000</f>
        <v>#NUM!</v>
      </c>
      <c r="Q140" s="60" t="e">
        <f>0.5*Energy_label!$N$17*Energy_label!$G$17^2*Q$25</f>
        <v>#NUM!</v>
      </c>
      <c r="R140" s="62" t="e">
        <f t="shared" si="21"/>
        <v>#NUM!</v>
      </c>
    </row>
    <row r="141" spans="2:18" x14ac:dyDescent="0.15">
      <c r="B141">
        <v>3750</v>
      </c>
      <c r="C141" s="44" t="e">
        <f>10*LOG(10^((C$124-C$5-datablad!E16*IF(AND(Energy_label!$H$12&gt;-10,Energy_label!$H$12&lt;30),1,340/Energy_label!$Q$17))/10)+10^(C$126/10))+C$5</f>
        <v>#NUM!</v>
      </c>
      <c r="D141" s="44" t="e">
        <f>10*LOG(10^((D$124-D$5-datablad!F16*IF(AND(Energy_label!$H$12&gt;-10,Energy_label!$H$12&lt;30),1,340/Energy_label!$Q$17))/10)+10^(D$126/10))+D$5</f>
        <v>#NUM!</v>
      </c>
      <c r="E141" s="44" t="e">
        <f>10*LOG(10^((E$124-E$5-datablad!G16*IF(AND(Energy_label!$H$12&gt;-10,Energy_label!$H$12&lt;30),1,340/Energy_label!$Q$17))/10)+10^(E$126/10))+E$5</f>
        <v>#NUM!</v>
      </c>
      <c r="F141" s="44" t="e">
        <f>10*LOG(10^((F$124-F$5-datablad!H16*IF(AND(Energy_label!$H$12&gt;-10,Energy_label!$H$12&lt;30),1,340/Energy_label!$Q$17))/10)+10^(F$126/10))+F$5</f>
        <v>#NUM!</v>
      </c>
      <c r="G141" s="44" t="e">
        <f>10*LOG(10^((G$124-G$5-datablad!I16*IF(AND(Energy_label!$H$12&gt;-10,Energy_label!$H$12&lt;30),1,340/Energy_label!$Q$17))/10)+10^(G$126/10))+G$5</f>
        <v>#NUM!</v>
      </c>
      <c r="H141" s="44" t="e">
        <f>10*LOG(10^((H$124-H$5-datablad!J16*IF(AND(Energy_label!$H$12&gt;-10,Energy_label!$H$12&lt;30),1,340/Energy_label!$Q$17))/10)+10^(H$126/10))+H$5</f>
        <v>#NUM!</v>
      </c>
      <c r="I141" s="44" t="e">
        <f>10*LOG(10^((I$124-I$5-datablad!K16*IF(AND(Energy_label!$H$12&gt;-10,Energy_label!$H$12&lt;30),1,340/Energy_label!$Q$17))/10)+10^(I$126/10))+I$5</f>
        <v>#NUM!</v>
      </c>
      <c r="J141" s="44" t="e">
        <f>10*LOG(10^((J$124-J$5-datablad!L16*IF(AND(Energy_label!$H$12&gt;-10,Energy_label!$H$12&lt;30),1,340/Energy_label!$Q$17))/10)+10^(J$126/10))+J$5</f>
        <v>#NUM!</v>
      </c>
      <c r="K141" s="44" t="e">
        <f>10*LOG(10^((K$124-K$5-datablad!M16*IF(AND(Energy_label!$H$12&gt;-10,Energy_label!$H$12&lt;30),1,340/Energy_label!$Q$17))/10)+10^(K$126/10))+K$5</f>
        <v>#NUM!</v>
      </c>
      <c r="L141" s="44" t="e">
        <f>10*LOG(10^((L$124-L$5-datablad!N16*IF(AND(Energy_label!$H$12&gt;-10,Energy_label!$H$12&lt;30),1,340/Energy_label!$Q$17))/10)+10^(L$126/10))+L$5</f>
        <v>#NUM!</v>
      </c>
      <c r="M141" s="46" t="e">
        <f t="shared" si="20"/>
        <v>#NUM!</v>
      </c>
      <c r="N141" s="31" t="e">
        <f>IF(M141&lt;Energy_label!N$8,1,0)</f>
        <v>#NUM!</v>
      </c>
      <c r="O141" s="60" t="e">
        <f>0.5*Energy_label!$N$17*Energy_label!$G$17^2*O$25</f>
        <v>#NUM!</v>
      </c>
      <c r="P141" s="60" t="e">
        <f>0.5*Energy_label!$N$17*Energy_label!$G$17^2*P$5*B141/1000</f>
        <v>#NUM!</v>
      </c>
      <c r="Q141" s="60" t="e">
        <f>0.5*Energy_label!$N$17*Energy_label!$G$17^2*Q$25</f>
        <v>#NUM!</v>
      </c>
      <c r="R141" s="62" t="e">
        <f t="shared" si="21"/>
        <v>#NUM!</v>
      </c>
    </row>
    <row r="142" spans="2:18" x14ac:dyDescent="0.15">
      <c r="B142">
        <v>4000</v>
      </c>
      <c r="C142" s="44" t="e">
        <f>10*LOG(10^((C$124-C$5-datablad!E17*IF(AND(Energy_label!$H$12&gt;-10,Energy_label!$H$12&lt;30),1,340/Energy_label!$Q$17))/10)+10^(C$126/10))+C$5</f>
        <v>#NUM!</v>
      </c>
      <c r="D142" s="44" t="e">
        <f>10*LOG(10^((D$124-D$5-datablad!F17*IF(AND(Energy_label!$H$12&gt;-10,Energy_label!$H$12&lt;30),1,340/Energy_label!$Q$17))/10)+10^(D$126/10))+D$5</f>
        <v>#NUM!</v>
      </c>
      <c r="E142" s="44" t="e">
        <f>10*LOG(10^((E$124-E$5-datablad!G17*IF(AND(Energy_label!$H$12&gt;-10,Energy_label!$H$12&lt;30),1,340/Energy_label!$Q$17))/10)+10^(E$126/10))+E$5</f>
        <v>#NUM!</v>
      </c>
      <c r="F142" s="44" t="e">
        <f>10*LOG(10^((F$124-F$5-datablad!H17*IF(AND(Energy_label!$H$12&gt;-10,Energy_label!$H$12&lt;30),1,340/Energy_label!$Q$17))/10)+10^(F$126/10))+F$5</f>
        <v>#NUM!</v>
      </c>
      <c r="G142" s="44" t="e">
        <f>10*LOG(10^((G$124-G$5-datablad!I17*IF(AND(Energy_label!$H$12&gt;-10,Energy_label!$H$12&lt;30),1,340/Energy_label!$Q$17))/10)+10^(G$126/10))+G$5</f>
        <v>#NUM!</v>
      </c>
      <c r="H142" s="44" t="e">
        <f>10*LOG(10^((H$124-H$5-datablad!J17*IF(AND(Energy_label!$H$12&gt;-10,Energy_label!$H$12&lt;30),1,340/Energy_label!$Q$17))/10)+10^(H$126/10))+H$5</f>
        <v>#NUM!</v>
      </c>
      <c r="I142" s="44" t="e">
        <f>10*LOG(10^((I$124-I$5-datablad!K17*IF(AND(Energy_label!$H$12&gt;-10,Energy_label!$H$12&lt;30),1,340/Energy_label!$Q$17))/10)+10^(I$126/10))+I$5</f>
        <v>#NUM!</v>
      </c>
      <c r="J142" s="44" t="e">
        <f>10*LOG(10^((J$124-J$5-datablad!L17*IF(AND(Energy_label!$H$12&gt;-10,Energy_label!$H$12&lt;30),1,340/Energy_label!$Q$17))/10)+10^(J$126/10))+J$5</f>
        <v>#NUM!</v>
      </c>
      <c r="K142" s="44" t="e">
        <f>10*LOG(10^((K$124-K$5-datablad!M17*IF(AND(Energy_label!$H$12&gt;-10,Energy_label!$H$12&lt;30),1,340/Energy_label!$Q$17))/10)+10^(K$126/10))+K$5</f>
        <v>#NUM!</v>
      </c>
      <c r="L142" s="44" t="e">
        <f>10*LOG(10^((L$124-L$5-datablad!N17*IF(AND(Energy_label!$H$12&gt;-10,Energy_label!$H$12&lt;30),1,340/Energy_label!$Q$17))/10)+10^(L$126/10))+L$5</f>
        <v>#NUM!</v>
      </c>
      <c r="M142" s="46" t="e">
        <f t="shared" si="20"/>
        <v>#NUM!</v>
      </c>
      <c r="N142" s="31" t="e">
        <f>IF(M142&lt;Energy_label!N$8,1,0)</f>
        <v>#NUM!</v>
      </c>
      <c r="O142" s="60" t="e">
        <f>0.5*Energy_label!$N$17*Energy_label!$G$17^2*O$25</f>
        <v>#NUM!</v>
      </c>
      <c r="P142" s="60" t="e">
        <f>0.5*Energy_label!$N$17*Energy_label!$G$17^2*P$5*B142/1000</f>
        <v>#NUM!</v>
      </c>
      <c r="Q142" s="60" t="e">
        <f>0.5*Energy_label!$N$17*Energy_label!$G$17^2*Q$25</f>
        <v>#NUM!</v>
      </c>
      <c r="R142" s="62" t="e">
        <f t="shared" si="21"/>
        <v>#NUM!</v>
      </c>
    </row>
    <row r="143" spans="2:18" x14ac:dyDescent="0.15">
      <c r="B143">
        <v>4250</v>
      </c>
      <c r="C143" s="44" t="e">
        <f>10*LOG(10^((C$124-C$5-datablad!E18*IF(AND(Energy_label!$H$12&gt;-10,Energy_label!$H$12&lt;30),1,340/Energy_label!$Q$17))/10)+10^(C$126/10))+C$5</f>
        <v>#NUM!</v>
      </c>
      <c r="D143" s="44" t="e">
        <f>10*LOG(10^((D$124-D$5-datablad!F18*IF(AND(Energy_label!$H$12&gt;-10,Energy_label!$H$12&lt;30),1,340/Energy_label!$Q$17))/10)+10^(D$126/10))+D$5</f>
        <v>#NUM!</v>
      </c>
      <c r="E143" s="44" t="e">
        <f>10*LOG(10^((E$124-E$5-datablad!G18*IF(AND(Energy_label!$H$12&gt;-10,Energy_label!$H$12&lt;30),1,340/Energy_label!$Q$17))/10)+10^(E$126/10))+E$5</f>
        <v>#NUM!</v>
      </c>
      <c r="F143" s="44" t="e">
        <f>10*LOG(10^((F$124-F$5-datablad!H18*IF(AND(Energy_label!$H$12&gt;-10,Energy_label!$H$12&lt;30),1,340/Energy_label!$Q$17))/10)+10^(F$126/10))+F$5</f>
        <v>#NUM!</v>
      </c>
      <c r="G143" s="44" t="e">
        <f>10*LOG(10^((G$124-G$5-datablad!I18*IF(AND(Energy_label!$H$12&gt;-10,Energy_label!$H$12&lt;30),1,340/Energy_label!$Q$17))/10)+10^(G$126/10))+G$5</f>
        <v>#NUM!</v>
      </c>
      <c r="H143" s="44" t="e">
        <f>10*LOG(10^((H$124-H$5-datablad!J18*IF(AND(Energy_label!$H$12&gt;-10,Energy_label!$H$12&lt;30),1,340/Energy_label!$Q$17))/10)+10^(H$126/10))+H$5</f>
        <v>#NUM!</v>
      </c>
      <c r="I143" s="44" t="e">
        <f>10*LOG(10^((I$124-I$5-datablad!K18*IF(AND(Energy_label!$H$12&gt;-10,Energy_label!$H$12&lt;30),1,340/Energy_label!$Q$17))/10)+10^(I$126/10))+I$5</f>
        <v>#NUM!</v>
      </c>
      <c r="J143" s="44" t="e">
        <f>10*LOG(10^((J$124-J$5-datablad!L18*IF(AND(Energy_label!$H$12&gt;-10,Energy_label!$H$12&lt;30),1,340/Energy_label!$Q$17))/10)+10^(J$126/10))+J$5</f>
        <v>#NUM!</v>
      </c>
      <c r="K143" s="44" t="e">
        <f>10*LOG(10^((K$124-K$5-datablad!M18*IF(AND(Energy_label!$H$12&gt;-10,Energy_label!$H$12&lt;30),1,340/Energy_label!$Q$17))/10)+10^(K$126/10))+K$5</f>
        <v>#NUM!</v>
      </c>
      <c r="L143" s="44" t="e">
        <f>10*LOG(10^((L$124-L$5-datablad!N18*IF(AND(Energy_label!$H$12&gt;-10,Energy_label!$H$12&lt;30),1,340/Energy_label!$Q$17))/10)+10^(L$126/10))+L$5</f>
        <v>#NUM!</v>
      </c>
      <c r="M143" s="46" t="e">
        <f t="shared" si="20"/>
        <v>#NUM!</v>
      </c>
      <c r="N143" s="31" t="e">
        <f>IF(M143&lt;Energy_label!N$8,1,0)</f>
        <v>#NUM!</v>
      </c>
      <c r="O143" s="60" t="e">
        <f>0.5*Energy_label!$N$17*Energy_label!$G$17^2*O$25</f>
        <v>#NUM!</v>
      </c>
      <c r="P143" s="60" t="e">
        <f>0.5*Energy_label!$N$17*Energy_label!$G$17^2*P$5*B143/1000</f>
        <v>#NUM!</v>
      </c>
      <c r="Q143" s="60" t="e">
        <f>0.5*Energy_label!$N$17*Energy_label!$G$17^2*Q$25</f>
        <v>#NUM!</v>
      </c>
      <c r="R143" s="62" t="e">
        <f t="shared" si="21"/>
        <v>#NUM!</v>
      </c>
    </row>
    <row r="144" spans="2:18" ht="12" thickBot="1" x14ac:dyDescent="0.2">
      <c r="B144">
        <v>4500</v>
      </c>
      <c r="C144" s="44" t="e">
        <f>10*LOG(10^((C$124-C$5-datablad!E19*IF(AND(Energy_label!$H$12&gt;-10,Energy_label!$H$12&lt;30),1,340/Energy_label!$Q$17))/10)+10^(C$126/10))+C$5</f>
        <v>#NUM!</v>
      </c>
      <c r="D144" s="44" t="e">
        <f>10*LOG(10^((D$124-D$5-datablad!F19*IF(AND(Energy_label!$H$12&gt;-10,Energy_label!$H$12&lt;30),1,340/Energy_label!$Q$17))/10)+10^(D$126/10))+D$5</f>
        <v>#NUM!</v>
      </c>
      <c r="E144" s="44" t="e">
        <f>10*LOG(10^((E$124-E$5-datablad!G19*IF(AND(Energy_label!$H$12&gt;-10,Energy_label!$H$12&lt;30),1,340/Energy_label!$Q$17))/10)+10^(E$126/10))+E$5</f>
        <v>#NUM!</v>
      </c>
      <c r="F144" s="44" t="e">
        <f>10*LOG(10^((F$124-F$5-datablad!H19*IF(AND(Energy_label!$H$12&gt;-10,Energy_label!$H$12&lt;30),1,340/Energy_label!$Q$17))/10)+10^(F$126/10))+F$5</f>
        <v>#NUM!</v>
      </c>
      <c r="G144" s="44" t="e">
        <f>10*LOG(10^((G$124-G$5-datablad!I19*IF(AND(Energy_label!$H$12&gt;-10,Energy_label!$H$12&lt;30),1,340/Energy_label!$Q$17))/10)+10^(G$126/10))+G$5</f>
        <v>#NUM!</v>
      </c>
      <c r="H144" s="44" t="e">
        <f>10*LOG(10^((H$124-H$5-datablad!J19*IF(AND(Energy_label!$H$12&gt;-10,Energy_label!$H$12&lt;30),1,340/Energy_label!$Q$17))/10)+10^(H$126/10))+H$5</f>
        <v>#NUM!</v>
      </c>
      <c r="I144" s="44" t="e">
        <f>10*LOG(10^((I$124-I$5-datablad!K19*IF(AND(Energy_label!$H$12&gt;-10,Energy_label!$H$12&lt;30),1,340/Energy_label!$Q$17))/10)+10^(I$126/10))+I$5</f>
        <v>#NUM!</v>
      </c>
      <c r="J144" s="44" t="e">
        <f>10*LOG(10^((J$124-J$5-datablad!L19*IF(AND(Energy_label!$H$12&gt;-10,Energy_label!$H$12&lt;30),1,340/Energy_label!$Q$17))/10)+10^(J$126/10))+J$5</f>
        <v>#NUM!</v>
      </c>
      <c r="K144" s="44" t="e">
        <f>10*LOG(10^((K$124-K$5-datablad!M19*IF(AND(Energy_label!$H$12&gt;-10,Energy_label!$H$12&lt;30),1,340/Energy_label!$Q$17))/10)+10^(K$126/10))+K$5</f>
        <v>#NUM!</v>
      </c>
      <c r="L144" s="44" t="e">
        <f>10*LOG(10^((L$124-L$5-datablad!N19*IF(AND(Energy_label!$H$12&gt;-10,Energy_label!$H$12&lt;30),1,340/Energy_label!$Q$17))/10)+10^(L$126/10))+L$5</f>
        <v>#NUM!</v>
      </c>
      <c r="M144" s="47" t="e">
        <f t="shared" si="20"/>
        <v>#NUM!</v>
      </c>
      <c r="N144" s="31" t="e">
        <f>IF(M144&lt;Energy_label!N$8,1,0)</f>
        <v>#NUM!</v>
      </c>
      <c r="O144" s="60" t="e">
        <f>0.5*Energy_label!$N$17*Energy_label!$G$17^2*O$25</f>
        <v>#NUM!</v>
      </c>
      <c r="P144" s="60" t="e">
        <f>0.5*Energy_label!$N$17*Energy_label!$G$17^2*P$5*B144/1000</f>
        <v>#NUM!</v>
      </c>
      <c r="Q144" s="60" t="e">
        <f>0.5*Energy_label!$N$17*Energy_label!$G$17^2*Q$25</f>
        <v>#NUM!</v>
      </c>
      <c r="R144" s="63" t="e">
        <f t="shared" si="21"/>
        <v>#NUM!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r:id="rId5">
            <anchor moveWithCells="1">
              <from>
                <xdr:col>19</xdr:col>
                <xdr:colOff>285750</xdr:colOff>
                <xdr:row>9</xdr:row>
                <xdr:rowOff>28575</xdr:rowOff>
              </from>
              <to>
                <xdr:col>24</xdr:col>
                <xdr:colOff>476250</xdr:colOff>
                <xdr:row>11</xdr:row>
                <xdr:rowOff>123825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19</xdr:col>
                <xdr:colOff>295275</xdr:colOff>
                <xdr:row>13</xdr:row>
                <xdr:rowOff>19050</xdr:rowOff>
              </from>
              <to>
                <xdr:col>29</xdr:col>
                <xdr:colOff>123825</xdr:colOff>
                <xdr:row>18</xdr:row>
                <xdr:rowOff>85725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102" r:id="rId8">
          <objectPr defaultSize="0" autoPict="0" r:id="rId9">
            <anchor moveWithCells="1">
              <from>
                <xdr:col>26</xdr:col>
                <xdr:colOff>19050</xdr:colOff>
                <xdr:row>7</xdr:row>
                <xdr:rowOff>104775</xdr:rowOff>
              </from>
              <to>
                <xdr:col>29</xdr:col>
                <xdr:colOff>352425</xdr:colOff>
                <xdr:row>12</xdr:row>
                <xdr:rowOff>85725</xdr:rowOff>
              </to>
            </anchor>
          </objectPr>
        </oleObject>
      </mc:Choice>
      <mc:Fallback>
        <oleObject progId="Equation.3" shapeId="4102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D2:N19"/>
  <sheetViews>
    <sheetView workbookViewId="0">
      <selection activeCell="P29" sqref="P29"/>
    </sheetView>
  </sheetViews>
  <sheetFormatPr defaultRowHeight="11.25" x14ac:dyDescent="0.15"/>
  <sheetData>
    <row r="2" spans="4:14" x14ac:dyDescent="0.15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</row>
    <row r="3" spans="4:14" x14ac:dyDescent="0.15">
      <c r="D3">
        <v>500</v>
      </c>
      <c r="E3">
        <v>1.3</v>
      </c>
      <c r="F3">
        <v>1.4</v>
      </c>
      <c r="G3">
        <v>1.8</v>
      </c>
      <c r="H3">
        <v>3.7</v>
      </c>
      <c r="I3">
        <v>9.6</v>
      </c>
      <c r="J3">
        <v>17.100000000000001</v>
      </c>
      <c r="K3">
        <v>19.600000000000001</v>
      </c>
      <c r="L3">
        <v>18.100000000000001</v>
      </c>
      <c r="M3">
        <v>12.2</v>
      </c>
      <c r="N3">
        <v>9.8000000000000007</v>
      </c>
    </row>
    <row r="4" spans="4:14" x14ac:dyDescent="0.15">
      <c r="D4">
        <v>750</v>
      </c>
      <c r="E4">
        <v>1.9</v>
      </c>
      <c r="F4">
        <v>2.1</v>
      </c>
      <c r="G4">
        <v>2.7</v>
      </c>
      <c r="H4">
        <v>5.5</v>
      </c>
      <c r="I4">
        <v>13.9</v>
      </c>
      <c r="J4">
        <v>23.9</v>
      </c>
      <c r="K4">
        <v>26.8</v>
      </c>
      <c r="L4">
        <v>23</v>
      </c>
      <c r="M4">
        <v>14.3</v>
      </c>
      <c r="N4">
        <v>10</v>
      </c>
    </row>
    <row r="5" spans="4:14" x14ac:dyDescent="0.15">
      <c r="D5">
        <v>1000</v>
      </c>
      <c r="E5">
        <v>2.6</v>
      </c>
      <c r="F5">
        <v>2.7</v>
      </c>
      <c r="G5">
        <v>3.6</v>
      </c>
      <c r="H5">
        <v>7.3</v>
      </c>
      <c r="I5">
        <v>18</v>
      </c>
      <c r="J5">
        <v>29.5</v>
      </c>
      <c r="K5">
        <v>33</v>
      </c>
      <c r="L5">
        <v>27.6</v>
      </c>
      <c r="M5">
        <v>16.5</v>
      </c>
      <c r="N5">
        <v>11.9</v>
      </c>
    </row>
    <row r="6" spans="4:14" x14ac:dyDescent="0.15">
      <c r="D6">
        <v>1250</v>
      </c>
      <c r="E6">
        <v>3.2</v>
      </c>
      <c r="F6">
        <v>3.4</v>
      </c>
      <c r="G6">
        <v>4.4000000000000004</v>
      </c>
      <c r="H6">
        <v>9</v>
      </c>
      <c r="I6">
        <v>21.8</v>
      </c>
      <c r="J6">
        <v>33.9</v>
      </c>
      <c r="K6">
        <v>38</v>
      </c>
      <c r="L6">
        <v>31.8</v>
      </c>
      <c r="M6">
        <v>18.600000000000001</v>
      </c>
      <c r="N6">
        <v>12.8</v>
      </c>
    </row>
    <row r="7" spans="4:14" x14ac:dyDescent="0.15">
      <c r="D7">
        <v>1500</v>
      </c>
      <c r="E7">
        <v>3.8</v>
      </c>
      <c r="F7">
        <v>4.0999999999999996</v>
      </c>
      <c r="G7">
        <v>5.3</v>
      </c>
      <c r="H7">
        <v>10.7</v>
      </c>
      <c r="I7">
        <v>25.2</v>
      </c>
      <c r="J7">
        <v>37.299999999999997</v>
      </c>
      <c r="K7">
        <v>42</v>
      </c>
      <c r="L7">
        <v>35.700000000000003</v>
      </c>
      <c r="M7">
        <v>20.6</v>
      </c>
      <c r="N7">
        <v>13.9</v>
      </c>
    </row>
    <row r="8" spans="4:14" x14ac:dyDescent="0.15">
      <c r="D8">
        <v>1750</v>
      </c>
      <c r="E8">
        <v>4.4000000000000004</v>
      </c>
      <c r="F8">
        <v>4.7</v>
      </c>
      <c r="G8">
        <v>6.2</v>
      </c>
      <c r="H8">
        <v>12.3</v>
      </c>
      <c r="I8">
        <v>28.3</v>
      </c>
      <c r="J8">
        <v>39.799999999999997</v>
      </c>
      <c r="K8">
        <v>45.1</v>
      </c>
      <c r="L8">
        <v>39.1</v>
      </c>
      <c r="M8">
        <v>22.6</v>
      </c>
      <c r="N8">
        <v>14.9</v>
      </c>
    </row>
    <row r="9" spans="4:14" x14ac:dyDescent="0.15">
      <c r="D9">
        <v>2000</v>
      </c>
      <c r="E9">
        <v>5</v>
      </c>
      <c r="F9">
        <v>5.4</v>
      </c>
      <c r="G9">
        <v>7</v>
      </c>
      <c r="H9">
        <v>13.9</v>
      </c>
      <c r="I9">
        <v>30.9</v>
      </c>
      <c r="J9">
        <v>41.6</v>
      </c>
      <c r="K9">
        <v>47.4</v>
      </c>
      <c r="L9">
        <v>42.1</v>
      </c>
      <c r="M9">
        <v>24.5</v>
      </c>
      <c r="N9">
        <v>15.9</v>
      </c>
    </row>
    <row r="10" spans="4:14" x14ac:dyDescent="0.15">
      <c r="D10">
        <v>2250</v>
      </c>
      <c r="E10">
        <v>5.7</v>
      </c>
      <c r="F10">
        <v>6.1</v>
      </c>
      <c r="G10">
        <v>7.9</v>
      </c>
      <c r="H10">
        <v>15.5</v>
      </c>
      <c r="I10">
        <v>33.299999999999997</v>
      </c>
      <c r="J10">
        <v>42.9</v>
      </c>
      <c r="K10">
        <v>49.1</v>
      </c>
      <c r="L10">
        <v>44.7</v>
      </c>
      <c r="M10">
        <v>26.4</v>
      </c>
      <c r="N10">
        <v>16.899999999999999</v>
      </c>
    </row>
    <row r="11" spans="4:14" x14ac:dyDescent="0.15">
      <c r="D11">
        <v>2500</v>
      </c>
      <c r="E11">
        <v>6.2</v>
      </c>
      <c r="F11">
        <v>6.7</v>
      </c>
      <c r="G11">
        <v>8.6999999999999993</v>
      </c>
      <c r="H11">
        <v>17</v>
      </c>
      <c r="I11">
        <v>35.299999999999997</v>
      </c>
      <c r="J11">
        <v>43.8</v>
      </c>
      <c r="K11">
        <v>50.4</v>
      </c>
      <c r="L11">
        <v>47</v>
      </c>
      <c r="M11">
        <v>28.2</v>
      </c>
      <c r="N11">
        <v>17.8</v>
      </c>
    </row>
    <row r="12" spans="4:14" x14ac:dyDescent="0.15">
      <c r="D12">
        <v>2750</v>
      </c>
      <c r="E12">
        <v>6.8</v>
      </c>
      <c r="F12">
        <v>7.3</v>
      </c>
      <c r="G12">
        <v>9.5</v>
      </c>
      <c r="H12">
        <v>18.399999999999999</v>
      </c>
      <c r="I12">
        <v>37</v>
      </c>
      <c r="J12">
        <v>44.4</v>
      </c>
      <c r="K12">
        <v>51.3</v>
      </c>
      <c r="L12">
        <v>48.9</v>
      </c>
      <c r="M12">
        <v>29.9</v>
      </c>
      <c r="N12">
        <v>18.8</v>
      </c>
    </row>
    <row r="13" spans="4:14" x14ac:dyDescent="0.15">
      <c r="D13">
        <v>3000</v>
      </c>
      <c r="E13">
        <v>7.4</v>
      </c>
      <c r="F13">
        <v>8</v>
      </c>
      <c r="G13">
        <v>10.3</v>
      </c>
      <c r="H13">
        <v>19.8</v>
      </c>
      <c r="I13">
        <v>38.4</v>
      </c>
      <c r="J13">
        <v>44.9</v>
      </c>
      <c r="K13">
        <v>52</v>
      </c>
      <c r="L13">
        <v>50.6</v>
      </c>
      <c r="M13">
        <v>31.5</v>
      </c>
      <c r="N13">
        <v>19.8</v>
      </c>
    </row>
    <row r="14" spans="4:14" x14ac:dyDescent="0.15">
      <c r="D14">
        <v>3250</v>
      </c>
      <c r="E14">
        <v>8</v>
      </c>
      <c r="F14">
        <v>8.6</v>
      </c>
      <c r="G14">
        <v>11.1</v>
      </c>
      <c r="H14">
        <v>21.1</v>
      </c>
      <c r="I14">
        <v>39.6</v>
      </c>
      <c r="J14">
        <v>45.2</v>
      </c>
      <c r="K14">
        <v>52.5</v>
      </c>
      <c r="L14">
        <v>51.9</v>
      </c>
      <c r="M14">
        <v>33</v>
      </c>
      <c r="N14">
        <v>20.7</v>
      </c>
    </row>
    <row r="15" spans="4:14" x14ac:dyDescent="0.15">
      <c r="D15">
        <v>3500</v>
      </c>
      <c r="E15">
        <v>8.5</v>
      </c>
      <c r="F15">
        <v>9.1999999999999993</v>
      </c>
      <c r="G15">
        <v>11.9</v>
      </c>
      <c r="H15">
        <v>22.3</v>
      </c>
      <c r="I15">
        <v>40.6</v>
      </c>
      <c r="J15">
        <v>45.4</v>
      </c>
      <c r="K15">
        <v>52.8</v>
      </c>
      <c r="L15">
        <v>53.1</v>
      </c>
      <c r="M15">
        <v>34.5</v>
      </c>
      <c r="N15">
        <v>21.6</v>
      </c>
    </row>
    <row r="16" spans="4:14" x14ac:dyDescent="0.15">
      <c r="D16">
        <v>3750</v>
      </c>
      <c r="E16">
        <v>9</v>
      </c>
      <c r="F16">
        <v>9.8000000000000007</v>
      </c>
      <c r="G16">
        <v>12.6</v>
      </c>
      <c r="H16">
        <v>23.5</v>
      </c>
      <c r="I16">
        <v>41.4</v>
      </c>
      <c r="J16">
        <v>45.5</v>
      </c>
      <c r="K16">
        <v>53.1</v>
      </c>
      <c r="L16">
        <v>54</v>
      </c>
      <c r="M16">
        <v>35.9</v>
      </c>
      <c r="N16">
        <v>22.5</v>
      </c>
    </row>
    <row r="17" spans="4:14" x14ac:dyDescent="0.15">
      <c r="D17">
        <v>4000</v>
      </c>
      <c r="E17">
        <v>9.6</v>
      </c>
      <c r="F17">
        <v>10.4</v>
      </c>
      <c r="G17">
        <v>13.4</v>
      </c>
      <c r="H17">
        <v>24.6</v>
      </c>
      <c r="I17">
        <v>42.1</v>
      </c>
      <c r="J17">
        <v>45.6</v>
      </c>
      <c r="K17">
        <v>63.3</v>
      </c>
      <c r="L17">
        <v>54.8</v>
      </c>
      <c r="M17">
        <v>37.200000000000003</v>
      </c>
      <c r="N17">
        <v>23.5</v>
      </c>
    </row>
    <row r="18" spans="4:14" x14ac:dyDescent="0.15">
      <c r="D18">
        <v>4250</v>
      </c>
      <c r="E18">
        <v>10.1</v>
      </c>
      <c r="F18">
        <v>11</v>
      </c>
      <c r="G18">
        <v>14.1</v>
      </c>
      <c r="H18">
        <v>25.7</v>
      </c>
      <c r="I18">
        <v>42.6</v>
      </c>
      <c r="J18">
        <v>45.7</v>
      </c>
      <c r="K18">
        <v>53.4</v>
      </c>
      <c r="L18">
        <v>55.5</v>
      </c>
      <c r="M18">
        <v>38.4</v>
      </c>
      <c r="N18">
        <v>24.3</v>
      </c>
    </row>
    <row r="19" spans="4:14" x14ac:dyDescent="0.15">
      <c r="D19">
        <v>4500</v>
      </c>
      <c r="E19">
        <v>10.6</v>
      </c>
      <c r="F19">
        <v>11.5</v>
      </c>
      <c r="G19">
        <v>14.8</v>
      </c>
      <c r="H19">
        <v>26.7</v>
      </c>
      <c r="I19">
        <v>43.1</v>
      </c>
      <c r="J19">
        <v>45.8</v>
      </c>
      <c r="K19">
        <v>53.3</v>
      </c>
      <c r="L19">
        <v>56</v>
      </c>
      <c r="M19">
        <v>39.5</v>
      </c>
      <c r="N19">
        <v>25.2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B2:F6"/>
  <sheetViews>
    <sheetView workbookViewId="0">
      <selection activeCell="P29" sqref="P29"/>
    </sheetView>
  </sheetViews>
  <sheetFormatPr defaultRowHeight="11.25" x14ac:dyDescent="0.15"/>
  <cols>
    <col min="1" max="1" width="3.625" customWidth="1"/>
    <col min="2" max="2" width="13.5" customWidth="1"/>
    <col min="3" max="3" width="4.125" customWidth="1"/>
    <col min="4" max="4" width="5.75" bestFit="1" customWidth="1"/>
    <col min="5" max="5" width="15.125" bestFit="1" customWidth="1"/>
  </cols>
  <sheetData>
    <row r="2" spans="2:6" x14ac:dyDescent="0.15">
      <c r="B2" t="s">
        <v>116</v>
      </c>
      <c r="C2" t="s">
        <v>11</v>
      </c>
      <c r="D2" t="s">
        <v>13</v>
      </c>
      <c r="E2" t="s">
        <v>36</v>
      </c>
    </row>
    <row r="3" spans="2:6" x14ac:dyDescent="0.15">
      <c r="B3" t="s">
        <v>116</v>
      </c>
      <c r="C3" t="s">
        <v>12</v>
      </c>
      <c r="D3" t="s">
        <v>14</v>
      </c>
      <c r="E3" t="s">
        <v>37</v>
      </c>
    </row>
    <row r="4" spans="2:6" x14ac:dyDescent="0.15">
      <c r="B4" t="s">
        <v>116</v>
      </c>
      <c r="D4" t="s">
        <v>15</v>
      </c>
      <c r="E4" t="s">
        <v>38</v>
      </c>
      <c r="F4" t="s">
        <v>108</v>
      </c>
    </row>
    <row r="5" spans="2:6" x14ac:dyDescent="0.15">
      <c r="E5" t="s">
        <v>39</v>
      </c>
      <c r="F5" t="s">
        <v>107</v>
      </c>
    </row>
    <row r="6" spans="2:6" x14ac:dyDescent="0.15">
      <c r="E6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EI457"/>
  <sheetViews>
    <sheetView tabSelected="1" workbookViewId="0">
      <selection activeCell="U14" sqref="U14"/>
    </sheetView>
  </sheetViews>
  <sheetFormatPr defaultRowHeight="11.25" x14ac:dyDescent="0.15"/>
  <cols>
    <col min="1" max="1" width="9" style="75"/>
    <col min="2" max="2" width="2.75" customWidth="1"/>
    <col min="3" max="3" width="16" customWidth="1"/>
    <col min="4" max="4" width="7.375" customWidth="1"/>
    <col min="5" max="5" width="8.25" customWidth="1"/>
    <col min="6" max="6" width="7.875" customWidth="1"/>
    <col min="7" max="7" width="8.125" customWidth="1"/>
    <col min="8" max="8" width="8.5" customWidth="1"/>
    <col min="9" max="10" width="8.375" customWidth="1"/>
    <col min="11" max="11" width="9" customWidth="1"/>
    <col min="12" max="12" width="9.375" customWidth="1"/>
    <col min="13" max="14" width="8.125" customWidth="1"/>
    <col min="15" max="15" width="2.875" customWidth="1"/>
    <col min="16" max="16" width="10.625" customWidth="1"/>
    <col min="18" max="18" width="9.75" customWidth="1"/>
    <col min="19" max="139" width="9" style="75"/>
  </cols>
  <sheetData>
    <row r="1" spans="1:18" s="75" customFormat="1" ht="12" thickBot="1" x14ac:dyDescent="0.2"/>
    <row r="2" spans="1:18" ht="6" customHeight="1" thickBot="1" x14ac:dyDescent="0.2">
      <c r="A2" s="76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18" ht="15" customHeight="1" thickBot="1" x14ac:dyDescent="0.2">
      <c r="A3" s="76" t="s">
        <v>113</v>
      </c>
      <c r="B3" s="4"/>
      <c r="C3" s="5"/>
      <c r="D3" s="81"/>
      <c r="E3" s="82"/>
      <c r="F3" s="82"/>
      <c r="G3" s="82"/>
      <c r="H3" s="82"/>
      <c r="I3" s="83"/>
      <c r="J3" s="5"/>
      <c r="K3" s="5"/>
      <c r="L3" s="5"/>
      <c r="M3" s="5"/>
      <c r="N3" s="5"/>
      <c r="O3" s="5"/>
      <c r="P3" s="5"/>
      <c r="Q3" s="5"/>
      <c r="R3" s="6"/>
    </row>
    <row r="4" spans="1:18" ht="7.5" customHeight="1" x14ac:dyDescent="0.15">
      <c r="A4" s="76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</row>
    <row r="5" spans="1:18" x14ac:dyDescent="0.15">
      <c r="A5" s="76"/>
      <c r="B5" s="4"/>
      <c r="C5" s="11"/>
      <c r="D5" s="67" t="s">
        <v>1</v>
      </c>
      <c r="E5" s="67" t="s">
        <v>2</v>
      </c>
      <c r="F5" s="67" t="s">
        <v>3</v>
      </c>
      <c r="G5" s="67" t="s">
        <v>4</v>
      </c>
      <c r="H5" s="67" t="s">
        <v>5</v>
      </c>
      <c r="I5" s="67" t="s">
        <v>6</v>
      </c>
      <c r="J5" s="67" t="s">
        <v>7</v>
      </c>
      <c r="K5" s="67" t="s">
        <v>8</v>
      </c>
      <c r="L5" s="67" t="s">
        <v>9</v>
      </c>
      <c r="M5" s="67" t="s">
        <v>10</v>
      </c>
      <c r="N5" s="67" t="s">
        <v>104</v>
      </c>
      <c r="O5" s="5"/>
      <c r="P5" s="67" t="s">
        <v>23</v>
      </c>
      <c r="Q5" s="5" t="s">
        <v>24</v>
      </c>
      <c r="R5" s="6"/>
    </row>
    <row r="6" spans="1:18" x14ac:dyDescent="0.15">
      <c r="A6" s="76"/>
      <c r="B6" s="4"/>
      <c r="C6" s="13" t="s">
        <v>18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68">
        <f>10*LOG(10^(D6/10)+10^(E6/10)+10^(F6/10)+10^(G6/10)+10^(H6/10)+10^(I6/10)+10^(J6/10)+10^(K6/10)+10^(L6/10)+10^(M6/10))</f>
        <v>10</v>
      </c>
      <c r="O6" s="5"/>
      <c r="P6" s="84" t="s">
        <v>116</v>
      </c>
      <c r="Q6" s="84"/>
      <c r="R6" s="6"/>
    </row>
    <row r="7" spans="1:18" x14ac:dyDescent="0.15">
      <c r="A7" s="76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3"/>
      <c r="Q7" s="5"/>
      <c r="R7" s="6"/>
    </row>
    <row r="8" spans="1:18" x14ac:dyDescent="0.15">
      <c r="A8" s="76"/>
      <c r="B8" s="4"/>
      <c r="C8" s="13" t="s">
        <v>17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5"/>
      <c r="P8" s="84"/>
      <c r="Q8" s="84"/>
      <c r="R8" s="6"/>
    </row>
    <row r="9" spans="1:18" x14ac:dyDescent="0.15">
      <c r="A9" s="76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3"/>
      <c r="P9" s="73"/>
      <c r="Q9" s="73"/>
      <c r="R9" s="6"/>
    </row>
    <row r="10" spans="1:18" x14ac:dyDescent="0.15">
      <c r="A10" s="76"/>
      <c r="B10" s="4"/>
      <c r="C10" s="13" t="s">
        <v>117</v>
      </c>
      <c r="D10" s="85"/>
      <c r="E10" s="86"/>
      <c r="F10" s="5" t="str">
        <f>IF(RIGHT(D3,4)="num)","plenum to plenum","")</f>
        <v/>
      </c>
      <c r="G10" s="5"/>
      <c r="H10" s="5"/>
      <c r="I10" s="5"/>
      <c r="J10" s="5"/>
      <c r="K10" s="5"/>
      <c r="L10" s="5"/>
      <c r="M10" s="5"/>
      <c r="N10" s="73"/>
      <c r="O10" s="13" t="s">
        <v>29</v>
      </c>
      <c r="P10" s="10">
        <v>1</v>
      </c>
      <c r="Q10" s="5" t="s">
        <v>19</v>
      </c>
      <c r="R10" s="6"/>
    </row>
    <row r="11" spans="1:18" x14ac:dyDescent="0.15">
      <c r="A11" s="7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</row>
    <row r="12" spans="1:18" ht="12.75" x14ac:dyDescent="0.15">
      <c r="A12" s="76"/>
      <c r="B12" s="4"/>
      <c r="C12" s="13" t="s">
        <v>27</v>
      </c>
      <c r="D12" s="84"/>
      <c r="E12" s="5" t="s">
        <v>106</v>
      </c>
      <c r="F12" s="5"/>
      <c r="G12" s="13" t="s">
        <v>28</v>
      </c>
      <c r="H12" s="84"/>
      <c r="I12" s="5" t="s">
        <v>32</v>
      </c>
      <c r="K12" s="13" t="s">
        <v>114</v>
      </c>
      <c r="L12" s="84"/>
      <c r="M12" s="5" t="s">
        <v>109</v>
      </c>
      <c r="N12" s="73"/>
      <c r="O12" s="73"/>
      <c r="P12" s="73"/>
      <c r="Q12" s="73"/>
      <c r="R12" s="6"/>
    </row>
    <row r="13" spans="1:18" ht="12" thickBot="1" x14ac:dyDescent="0.2">
      <c r="A13" s="76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</row>
    <row r="14" spans="1:18" s="75" customFormat="1" ht="12" thickBot="1" x14ac:dyDescent="0.2">
      <c r="A14" s="76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x14ac:dyDescent="0.15">
      <c r="A15" s="76" t="s">
        <v>33</v>
      </c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1:18" x14ac:dyDescent="0.15">
      <c r="B16" s="4"/>
      <c r="C16" s="5"/>
      <c r="D16" s="5" t="s">
        <v>21</v>
      </c>
      <c r="E16" s="5" t="s">
        <v>22</v>
      </c>
      <c r="F16" s="5"/>
      <c r="G16" s="5" t="s">
        <v>25</v>
      </c>
      <c r="H16" s="5"/>
      <c r="I16" s="5" t="s">
        <v>26</v>
      </c>
      <c r="J16" s="11"/>
      <c r="K16" s="5" t="s">
        <v>30</v>
      </c>
      <c r="L16" s="5" t="s">
        <v>31</v>
      </c>
      <c r="M16" s="11"/>
      <c r="N16" s="5" t="s">
        <v>35</v>
      </c>
      <c r="O16" s="5"/>
      <c r="P16" s="11"/>
      <c r="Q16" s="5" t="s">
        <v>42</v>
      </c>
      <c r="R16" s="6"/>
    </row>
    <row r="17" spans="2:18" ht="12.75" x14ac:dyDescent="0.15">
      <c r="B17" s="4"/>
      <c r="C17" s="5" t="s">
        <v>20</v>
      </c>
      <c r="D17" s="71" t="e">
        <f>INDEX(rekenblad!R6:R144,MATCH(1,rekenblad!N6:N144,0),1)*2^-0.25</f>
        <v>#N/A</v>
      </c>
      <c r="E17" s="71" t="e">
        <f>INDEX(rekenblad!R6:R144,MATCH(1,rekenblad!N6:N144,0),1)*2^0.25</f>
        <v>#N/A</v>
      </c>
      <c r="F17" s="5" t="s">
        <v>109</v>
      </c>
      <c r="G17" s="12" t="e">
        <f>IF((11.5*(LOG(D12))^2)/25+0.5&gt;12,12,(11.5*(LOG(D12))^2)/25+0.5)</f>
        <v>#NUM!</v>
      </c>
      <c r="H17" s="5" t="s">
        <v>110</v>
      </c>
      <c r="I17" s="72" t="e">
        <f>((2*(D12/3600)/G17)/N17)</f>
        <v>#NUM!</v>
      </c>
      <c r="J17" s="74" t="s">
        <v>111</v>
      </c>
      <c r="K17" s="72" t="e">
        <f>I17/L17</f>
        <v>#NUM!</v>
      </c>
      <c r="L17" s="72" t="e">
        <f>IF(ROUND(5*I17^0.5,1)/5&lt;0.2,0.2,ROUND(5*I17^0.5,0)/5)</f>
        <v>#NUM!</v>
      </c>
      <c r="M17" s="5"/>
      <c r="N17" s="16">
        <f>1.22/rekenblad!X47</f>
        <v>1.3004030251976111</v>
      </c>
      <c r="O17" s="5" t="s">
        <v>112</v>
      </c>
      <c r="P17" s="5"/>
      <c r="Q17" s="17">
        <f>(1.41*101500/N17)^0.5</f>
        <v>331.74439341021179</v>
      </c>
      <c r="R17" s="6" t="s">
        <v>110</v>
      </c>
    </row>
    <row r="18" spans="2:18" x14ac:dyDescent="0.15">
      <c r="B18" s="4"/>
      <c r="C18" s="5"/>
      <c r="D18" s="30"/>
      <c r="E18" s="30"/>
      <c r="F18" s="5"/>
      <c r="G18" s="5"/>
      <c r="H18" s="5"/>
      <c r="I18" s="11"/>
      <c r="J18" s="28"/>
      <c r="K18" s="28"/>
      <c r="L18" s="5"/>
      <c r="M18" s="28"/>
      <c r="N18" s="5"/>
      <c r="O18" s="5"/>
      <c r="P18" s="29"/>
      <c r="Q18" s="5"/>
      <c r="R18" s="6"/>
    </row>
    <row r="19" spans="2:18" ht="12" thickBot="1" x14ac:dyDescent="0.2">
      <c r="B19" s="4"/>
      <c r="C19" s="5"/>
      <c r="D19" s="30"/>
      <c r="E19" s="30"/>
      <c r="F19" s="5"/>
      <c r="G19" s="5"/>
      <c r="H19" s="5"/>
      <c r="I19" s="70"/>
      <c r="J19" s="28"/>
      <c r="K19" s="28"/>
      <c r="L19" s="5"/>
      <c r="M19" s="5"/>
      <c r="N19" s="5"/>
      <c r="O19" s="5"/>
      <c r="P19" s="29"/>
      <c r="Q19" s="5"/>
      <c r="R19" s="6"/>
    </row>
    <row r="20" spans="2:18" ht="30.75" customHeight="1" thickBot="1" x14ac:dyDescent="0.4">
      <c r="B20" s="4"/>
      <c r="C20" s="77" t="str">
        <f>IF(D3="","Energy label",IF(D3=selectieblad!F4,"Energy label for attenuator","Energy label for ventilation system"))</f>
        <v>Energy label</v>
      </c>
      <c r="D20" s="78" t="e">
        <f>INDEX(Blad1!G11:G39,MATCH(LN(L12/INDEX(rekenblad!R6:R144,MATCH(1,rekenblad!N6:N144,0),1))/LN(2),Blad1!H11:H39,1),1)</f>
        <v>#N/A</v>
      </c>
      <c r="E20" s="79"/>
      <c r="F20" s="5"/>
      <c r="G20" s="5"/>
      <c r="I20" s="28"/>
      <c r="J20" s="28"/>
      <c r="K20" s="28"/>
      <c r="L20" s="5"/>
      <c r="M20" s="5"/>
      <c r="N20" s="5"/>
      <c r="O20" s="5"/>
      <c r="P20" s="29"/>
      <c r="Q20" s="5"/>
      <c r="R20" s="6"/>
    </row>
    <row r="21" spans="2:18" ht="12" thickBot="1" x14ac:dyDescent="0.2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0" t="s">
        <v>115</v>
      </c>
      <c r="P21" s="8"/>
      <c r="Q21" s="8"/>
      <c r="R21" s="9"/>
    </row>
    <row r="22" spans="2:18" s="75" customFormat="1" x14ac:dyDescent="0.15"/>
    <row r="23" spans="2:18" s="75" customFormat="1" x14ac:dyDescent="0.15"/>
    <row r="24" spans="2:18" s="75" customFormat="1" x14ac:dyDescent="0.15"/>
    <row r="25" spans="2:18" s="75" customFormat="1" x14ac:dyDescent="0.15"/>
    <row r="26" spans="2:18" s="75" customFormat="1" x14ac:dyDescent="0.15"/>
    <row r="27" spans="2:18" s="75" customFormat="1" x14ac:dyDescent="0.15"/>
    <row r="28" spans="2:18" s="75" customFormat="1" x14ac:dyDescent="0.15"/>
    <row r="29" spans="2:18" s="75" customFormat="1" x14ac:dyDescent="0.15"/>
    <row r="30" spans="2:18" s="75" customFormat="1" x14ac:dyDescent="0.15"/>
    <row r="31" spans="2:18" s="75" customFormat="1" x14ac:dyDescent="0.15"/>
    <row r="32" spans="2:18" s="75" customFormat="1" x14ac:dyDescent="0.15"/>
    <row r="33" s="75" customFormat="1" x14ac:dyDescent="0.15"/>
    <row r="34" s="75" customFormat="1" x14ac:dyDescent="0.15"/>
    <row r="35" s="75" customFormat="1" x14ac:dyDescent="0.15"/>
    <row r="36" s="75" customFormat="1" x14ac:dyDescent="0.15"/>
    <row r="37" s="75" customFormat="1" x14ac:dyDescent="0.15"/>
    <row r="38" s="75" customFormat="1" x14ac:dyDescent="0.15"/>
    <row r="39" s="75" customFormat="1" x14ac:dyDescent="0.15"/>
    <row r="40" s="75" customFormat="1" x14ac:dyDescent="0.15"/>
    <row r="41" s="75" customFormat="1" x14ac:dyDescent="0.15"/>
    <row r="42" s="75" customFormat="1" x14ac:dyDescent="0.15"/>
    <row r="43" s="75" customFormat="1" x14ac:dyDescent="0.15"/>
    <row r="44" s="75" customFormat="1" x14ac:dyDescent="0.15"/>
    <row r="45" s="75" customFormat="1" x14ac:dyDescent="0.15"/>
    <row r="46" s="75" customFormat="1" x14ac:dyDescent="0.15"/>
    <row r="47" s="75" customFormat="1" x14ac:dyDescent="0.15"/>
    <row r="48" s="75" customFormat="1" x14ac:dyDescent="0.15"/>
    <row r="49" s="75" customFormat="1" x14ac:dyDescent="0.15"/>
    <row r="50" s="75" customFormat="1" x14ac:dyDescent="0.15"/>
    <row r="51" s="75" customFormat="1" x14ac:dyDescent="0.15"/>
    <row r="52" s="75" customFormat="1" x14ac:dyDescent="0.15"/>
    <row r="53" s="75" customFormat="1" x14ac:dyDescent="0.15"/>
    <row r="54" s="75" customFormat="1" x14ac:dyDescent="0.15"/>
    <row r="55" s="75" customFormat="1" x14ac:dyDescent="0.15"/>
    <row r="56" s="75" customFormat="1" x14ac:dyDescent="0.15"/>
    <row r="57" s="75" customFormat="1" x14ac:dyDescent="0.15"/>
    <row r="58" s="75" customFormat="1" x14ac:dyDescent="0.15"/>
    <row r="59" s="75" customFormat="1" x14ac:dyDescent="0.15"/>
    <row r="60" s="75" customFormat="1" x14ac:dyDescent="0.15"/>
    <row r="61" s="75" customFormat="1" x14ac:dyDescent="0.15"/>
    <row r="62" s="75" customFormat="1" x14ac:dyDescent="0.15"/>
    <row r="63" s="75" customFormat="1" x14ac:dyDescent="0.15"/>
    <row r="64" s="75" customFormat="1" x14ac:dyDescent="0.15"/>
    <row r="65" s="75" customFormat="1" x14ac:dyDescent="0.15"/>
    <row r="66" s="75" customFormat="1" x14ac:dyDescent="0.15"/>
    <row r="67" s="75" customFormat="1" x14ac:dyDescent="0.15"/>
    <row r="68" s="75" customFormat="1" x14ac:dyDescent="0.15"/>
    <row r="69" s="75" customFormat="1" x14ac:dyDescent="0.15"/>
    <row r="70" s="75" customFormat="1" x14ac:dyDescent="0.15"/>
    <row r="71" s="75" customFormat="1" x14ac:dyDescent="0.15"/>
    <row r="72" s="75" customFormat="1" x14ac:dyDescent="0.15"/>
    <row r="73" s="75" customFormat="1" x14ac:dyDescent="0.15"/>
    <row r="74" s="75" customFormat="1" x14ac:dyDescent="0.15"/>
    <row r="75" s="75" customFormat="1" x14ac:dyDescent="0.15"/>
    <row r="76" s="75" customFormat="1" x14ac:dyDescent="0.15"/>
    <row r="77" s="75" customFormat="1" x14ac:dyDescent="0.15"/>
    <row r="78" s="75" customFormat="1" x14ac:dyDescent="0.15"/>
    <row r="79" s="75" customFormat="1" x14ac:dyDescent="0.15"/>
    <row r="80" s="75" customFormat="1" x14ac:dyDescent="0.15"/>
    <row r="81" s="75" customFormat="1" x14ac:dyDescent="0.15"/>
    <row r="82" s="75" customFormat="1" x14ac:dyDescent="0.15"/>
    <row r="83" s="75" customFormat="1" x14ac:dyDescent="0.15"/>
    <row r="84" s="75" customFormat="1" x14ac:dyDescent="0.15"/>
    <row r="85" s="75" customFormat="1" x14ac:dyDescent="0.15"/>
    <row r="86" s="75" customFormat="1" x14ac:dyDescent="0.15"/>
    <row r="87" s="75" customFormat="1" x14ac:dyDescent="0.15"/>
    <row r="88" s="75" customFormat="1" x14ac:dyDescent="0.15"/>
    <row r="89" s="75" customFormat="1" x14ac:dyDescent="0.15"/>
    <row r="90" s="75" customFormat="1" x14ac:dyDescent="0.15"/>
    <row r="91" s="75" customFormat="1" x14ac:dyDescent="0.15"/>
    <row r="92" s="75" customFormat="1" x14ac:dyDescent="0.15"/>
    <row r="93" s="75" customFormat="1" x14ac:dyDescent="0.15"/>
    <row r="94" s="75" customFormat="1" x14ac:dyDescent="0.15"/>
    <row r="95" s="75" customFormat="1" x14ac:dyDescent="0.15"/>
    <row r="96" s="75" customFormat="1" x14ac:dyDescent="0.15"/>
    <row r="97" s="75" customFormat="1" x14ac:dyDescent="0.15"/>
    <row r="98" s="75" customFormat="1" x14ac:dyDescent="0.15"/>
    <row r="99" s="75" customFormat="1" x14ac:dyDescent="0.15"/>
    <row r="100" s="75" customFormat="1" x14ac:dyDescent="0.15"/>
    <row r="101" s="75" customFormat="1" x14ac:dyDescent="0.15"/>
    <row r="102" s="75" customFormat="1" x14ac:dyDescent="0.15"/>
    <row r="103" s="75" customFormat="1" x14ac:dyDescent="0.15"/>
    <row r="104" s="75" customFormat="1" x14ac:dyDescent="0.15"/>
    <row r="105" s="75" customFormat="1" x14ac:dyDescent="0.15"/>
    <row r="106" s="75" customFormat="1" x14ac:dyDescent="0.15"/>
    <row r="107" s="75" customFormat="1" x14ac:dyDescent="0.15"/>
    <row r="108" s="75" customFormat="1" x14ac:dyDescent="0.15"/>
    <row r="109" s="75" customFormat="1" x14ac:dyDescent="0.15"/>
    <row r="110" s="75" customFormat="1" x14ac:dyDescent="0.15"/>
    <row r="111" s="75" customFormat="1" x14ac:dyDescent="0.15"/>
    <row r="112" s="75" customFormat="1" x14ac:dyDescent="0.15"/>
    <row r="113" s="75" customFormat="1" x14ac:dyDescent="0.15"/>
    <row r="114" s="75" customFormat="1" x14ac:dyDescent="0.15"/>
    <row r="115" s="75" customFormat="1" x14ac:dyDescent="0.15"/>
    <row r="116" s="75" customFormat="1" x14ac:dyDescent="0.15"/>
    <row r="117" s="75" customFormat="1" x14ac:dyDescent="0.15"/>
    <row r="118" s="75" customFormat="1" x14ac:dyDescent="0.15"/>
    <row r="119" s="75" customFormat="1" x14ac:dyDescent="0.15"/>
    <row r="120" s="75" customFormat="1" x14ac:dyDescent="0.15"/>
    <row r="121" s="75" customFormat="1" x14ac:dyDescent="0.15"/>
    <row r="122" s="75" customFormat="1" x14ac:dyDescent="0.15"/>
    <row r="123" s="75" customFormat="1" x14ac:dyDescent="0.15"/>
    <row r="124" s="75" customFormat="1" x14ac:dyDescent="0.15"/>
    <row r="125" s="75" customFormat="1" x14ac:dyDescent="0.15"/>
    <row r="126" s="75" customFormat="1" x14ac:dyDescent="0.15"/>
    <row r="127" s="75" customFormat="1" x14ac:dyDescent="0.15"/>
    <row r="128" s="75" customFormat="1" x14ac:dyDescent="0.15"/>
    <row r="129" s="75" customFormat="1" x14ac:dyDescent="0.15"/>
    <row r="130" s="75" customFormat="1" x14ac:dyDescent="0.15"/>
    <row r="131" s="75" customFormat="1" x14ac:dyDescent="0.15"/>
    <row r="132" s="75" customFormat="1" x14ac:dyDescent="0.15"/>
    <row r="133" s="75" customFormat="1" x14ac:dyDescent="0.15"/>
    <row r="134" s="75" customFormat="1" x14ac:dyDescent="0.15"/>
    <row r="135" s="75" customFormat="1" x14ac:dyDescent="0.15"/>
    <row r="136" s="75" customFormat="1" x14ac:dyDescent="0.15"/>
    <row r="137" s="75" customFormat="1" x14ac:dyDescent="0.15"/>
    <row r="138" s="75" customFormat="1" x14ac:dyDescent="0.15"/>
    <row r="139" s="75" customFormat="1" x14ac:dyDescent="0.15"/>
    <row r="140" s="75" customFormat="1" x14ac:dyDescent="0.15"/>
    <row r="141" s="75" customFormat="1" x14ac:dyDescent="0.15"/>
    <row r="142" s="75" customFormat="1" x14ac:dyDescent="0.15"/>
    <row r="143" s="75" customFormat="1" x14ac:dyDescent="0.15"/>
    <row r="144" s="75" customFormat="1" x14ac:dyDescent="0.15"/>
    <row r="145" s="75" customFormat="1" x14ac:dyDescent="0.15"/>
    <row r="146" s="75" customFormat="1" x14ac:dyDescent="0.15"/>
    <row r="147" s="75" customFormat="1" x14ac:dyDescent="0.15"/>
    <row r="148" s="75" customFormat="1" x14ac:dyDescent="0.15"/>
    <row r="149" s="75" customFormat="1" x14ac:dyDescent="0.15"/>
    <row r="150" s="75" customFormat="1" x14ac:dyDescent="0.15"/>
    <row r="151" s="75" customFormat="1" x14ac:dyDescent="0.15"/>
    <row r="152" s="75" customFormat="1" x14ac:dyDescent="0.15"/>
    <row r="153" s="75" customFormat="1" x14ac:dyDescent="0.15"/>
    <row r="154" s="75" customFormat="1" x14ac:dyDescent="0.15"/>
    <row r="155" s="75" customFormat="1" x14ac:dyDescent="0.15"/>
    <row r="156" s="75" customFormat="1" x14ac:dyDescent="0.15"/>
    <row r="157" s="75" customFormat="1" x14ac:dyDescent="0.15"/>
    <row r="158" s="75" customFormat="1" x14ac:dyDescent="0.15"/>
    <row r="159" s="75" customFormat="1" x14ac:dyDescent="0.15"/>
    <row r="160" s="75" customFormat="1" x14ac:dyDescent="0.15"/>
    <row r="161" s="75" customFormat="1" x14ac:dyDescent="0.15"/>
    <row r="162" s="75" customFormat="1" x14ac:dyDescent="0.15"/>
    <row r="163" s="75" customFormat="1" x14ac:dyDescent="0.15"/>
    <row r="164" s="75" customFormat="1" x14ac:dyDescent="0.15"/>
    <row r="165" s="75" customFormat="1" x14ac:dyDescent="0.15"/>
    <row r="166" s="75" customFormat="1" x14ac:dyDescent="0.15"/>
    <row r="167" s="75" customFormat="1" x14ac:dyDescent="0.15"/>
    <row r="168" s="75" customFormat="1" x14ac:dyDescent="0.15"/>
    <row r="169" s="75" customFormat="1" x14ac:dyDescent="0.15"/>
    <row r="170" s="75" customFormat="1" x14ac:dyDescent="0.15"/>
    <row r="171" s="75" customFormat="1" x14ac:dyDescent="0.15"/>
    <row r="172" s="75" customFormat="1" x14ac:dyDescent="0.15"/>
    <row r="173" s="75" customFormat="1" x14ac:dyDescent="0.15"/>
    <row r="174" s="75" customFormat="1" x14ac:dyDescent="0.15"/>
    <row r="175" s="75" customFormat="1" x14ac:dyDescent="0.15"/>
    <row r="176" s="75" customFormat="1" x14ac:dyDescent="0.15"/>
    <row r="177" s="75" customFormat="1" x14ac:dyDescent="0.15"/>
    <row r="178" s="75" customFormat="1" x14ac:dyDescent="0.15"/>
    <row r="179" s="75" customFormat="1" x14ac:dyDescent="0.15"/>
    <row r="180" s="75" customFormat="1" x14ac:dyDescent="0.15"/>
    <row r="181" s="75" customFormat="1" x14ac:dyDescent="0.15"/>
    <row r="182" s="75" customFormat="1" x14ac:dyDescent="0.15"/>
    <row r="183" s="75" customFormat="1" x14ac:dyDescent="0.15"/>
    <row r="184" s="75" customFormat="1" x14ac:dyDescent="0.15"/>
    <row r="185" s="75" customFormat="1" x14ac:dyDescent="0.15"/>
    <row r="186" s="75" customFormat="1" x14ac:dyDescent="0.15"/>
    <row r="187" s="75" customFormat="1" x14ac:dyDescent="0.15"/>
    <row r="188" s="75" customFormat="1" x14ac:dyDescent="0.15"/>
    <row r="189" s="75" customFormat="1" x14ac:dyDescent="0.15"/>
    <row r="190" s="75" customFormat="1" x14ac:dyDescent="0.15"/>
    <row r="191" s="75" customFormat="1" x14ac:dyDescent="0.15"/>
    <row r="192" s="75" customFormat="1" x14ac:dyDescent="0.15"/>
    <row r="193" s="75" customFormat="1" x14ac:dyDescent="0.15"/>
    <row r="194" s="75" customFormat="1" x14ac:dyDescent="0.15"/>
    <row r="195" s="75" customFormat="1" x14ac:dyDescent="0.15"/>
    <row r="196" s="75" customFormat="1" x14ac:dyDescent="0.15"/>
    <row r="197" s="75" customFormat="1" x14ac:dyDescent="0.15"/>
    <row r="198" s="75" customFormat="1" x14ac:dyDescent="0.15"/>
    <row r="199" s="75" customFormat="1" x14ac:dyDescent="0.15"/>
    <row r="200" s="75" customFormat="1" x14ac:dyDescent="0.15"/>
    <row r="201" s="75" customFormat="1" x14ac:dyDescent="0.15"/>
    <row r="202" s="75" customFormat="1" x14ac:dyDescent="0.15"/>
    <row r="203" s="75" customFormat="1" x14ac:dyDescent="0.15"/>
    <row r="204" s="75" customFormat="1" x14ac:dyDescent="0.15"/>
    <row r="205" s="75" customFormat="1" x14ac:dyDescent="0.15"/>
    <row r="206" s="75" customFormat="1" x14ac:dyDescent="0.15"/>
    <row r="207" s="75" customFormat="1" x14ac:dyDescent="0.15"/>
    <row r="208" s="75" customFormat="1" x14ac:dyDescent="0.15"/>
    <row r="209" s="75" customFormat="1" x14ac:dyDescent="0.15"/>
    <row r="210" s="75" customFormat="1" x14ac:dyDescent="0.15"/>
    <row r="211" s="75" customFormat="1" x14ac:dyDescent="0.15"/>
    <row r="212" s="75" customFormat="1" x14ac:dyDescent="0.15"/>
    <row r="213" s="75" customFormat="1" x14ac:dyDescent="0.15"/>
    <row r="214" s="75" customFormat="1" x14ac:dyDescent="0.15"/>
    <row r="215" s="75" customFormat="1" x14ac:dyDescent="0.15"/>
    <row r="216" s="75" customFormat="1" x14ac:dyDescent="0.15"/>
    <row r="217" s="75" customFormat="1" x14ac:dyDescent="0.15"/>
    <row r="218" s="75" customFormat="1" x14ac:dyDescent="0.15"/>
    <row r="219" s="75" customFormat="1" x14ac:dyDescent="0.15"/>
    <row r="220" s="75" customFormat="1" x14ac:dyDescent="0.15"/>
    <row r="221" s="75" customFormat="1" x14ac:dyDescent="0.15"/>
    <row r="222" s="75" customFormat="1" x14ac:dyDescent="0.15"/>
    <row r="223" s="75" customFormat="1" x14ac:dyDescent="0.15"/>
    <row r="224" s="75" customFormat="1" x14ac:dyDescent="0.15"/>
    <row r="225" s="75" customFormat="1" x14ac:dyDescent="0.15"/>
    <row r="226" s="75" customFormat="1" x14ac:dyDescent="0.15"/>
    <row r="227" s="75" customFormat="1" x14ac:dyDescent="0.15"/>
    <row r="228" s="75" customFormat="1" x14ac:dyDescent="0.15"/>
    <row r="229" s="75" customFormat="1" x14ac:dyDescent="0.15"/>
    <row r="230" s="75" customFormat="1" x14ac:dyDescent="0.15"/>
    <row r="231" s="75" customFormat="1" x14ac:dyDescent="0.15"/>
    <row r="232" s="75" customFormat="1" x14ac:dyDescent="0.15"/>
    <row r="233" s="75" customFormat="1" x14ac:dyDescent="0.15"/>
    <row r="234" s="75" customFormat="1" x14ac:dyDescent="0.15"/>
    <row r="235" s="75" customFormat="1" x14ac:dyDescent="0.15"/>
    <row r="236" s="75" customFormat="1" x14ac:dyDescent="0.15"/>
    <row r="237" s="75" customFormat="1" x14ac:dyDescent="0.15"/>
    <row r="238" s="75" customFormat="1" x14ac:dyDescent="0.15"/>
    <row r="239" s="75" customFormat="1" x14ac:dyDescent="0.15"/>
    <row r="240" s="75" customFormat="1" x14ac:dyDescent="0.15"/>
    <row r="241" s="75" customFormat="1" x14ac:dyDescent="0.15"/>
    <row r="242" s="75" customFormat="1" x14ac:dyDescent="0.15"/>
    <row r="243" s="75" customFormat="1" x14ac:dyDescent="0.15"/>
    <row r="244" s="75" customFormat="1" x14ac:dyDescent="0.15"/>
    <row r="245" s="75" customFormat="1" x14ac:dyDescent="0.15"/>
    <row r="246" s="75" customFormat="1" x14ac:dyDescent="0.15"/>
    <row r="247" s="75" customFormat="1" x14ac:dyDescent="0.15"/>
    <row r="248" s="75" customFormat="1" x14ac:dyDescent="0.15"/>
    <row r="249" s="75" customFormat="1" x14ac:dyDescent="0.15"/>
    <row r="250" s="75" customFormat="1" x14ac:dyDescent="0.15"/>
    <row r="251" s="75" customFormat="1" x14ac:dyDescent="0.15"/>
    <row r="252" s="75" customFormat="1" x14ac:dyDescent="0.15"/>
    <row r="253" s="75" customFormat="1" x14ac:dyDescent="0.15"/>
    <row r="254" s="75" customFormat="1" x14ac:dyDescent="0.15"/>
    <row r="255" s="75" customFormat="1" x14ac:dyDescent="0.15"/>
    <row r="256" s="75" customFormat="1" x14ac:dyDescent="0.15"/>
    <row r="257" s="75" customFormat="1" x14ac:dyDescent="0.15"/>
    <row r="258" s="75" customFormat="1" x14ac:dyDescent="0.15"/>
    <row r="259" s="75" customFormat="1" x14ac:dyDescent="0.15"/>
    <row r="260" s="75" customFormat="1" x14ac:dyDescent="0.15"/>
    <row r="261" s="75" customFormat="1" x14ac:dyDescent="0.15"/>
    <row r="262" s="75" customFormat="1" x14ac:dyDescent="0.15"/>
    <row r="263" s="75" customFormat="1" x14ac:dyDescent="0.15"/>
    <row r="264" s="75" customFormat="1" x14ac:dyDescent="0.15"/>
    <row r="265" s="75" customFormat="1" x14ac:dyDescent="0.15"/>
    <row r="266" s="75" customFormat="1" x14ac:dyDescent="0.15"/>
    <row r="267" s="75" customFormat="1" x14ac:dyDescent="0.15"/>
    <row r="268" s="75" customFormat="1" x14ac:dyDescent="0.15"/>
    <row r="269" s="75" customFormat="1" x14ac:dyDescent="0.15"/>
    <row r="270" s="75" customFormat="1" x14ac:dyDescent="0.15"/>
    <row r="271" s="75" customFormat="1" x14ac:dyDescent="0.15"/>
    <row r="272" s="75" customFormat="1" x14ac:dyDescent="0.15"/>
    <row r="273" s="75" customFormat="1" x14ac:dyDescent="0.15"/>
    <row r="274" s="75" customFormat="1" x14ac:dyDescent="0.15"/>
    <row r="275" s="75" customFormat="1" x14ac:dyDescent="0.15"/>
    <row r="276" s="75" customFormat="1" x14ac:dyDescent="0.15"/>
    <row r="277" s="75" customFormat="1" x14ac:dyDescent="0.15"/>
    <row r="278" s="75" customFormat="1" x14ac:dyDescent="0.15"/>
    <row r="279" s="75" customFormat="1" x14ac:dyDescent="0.15"/>
    <row r="280" s="75" customFormat="1" x14ac:dyDescent="0.15"/>
    <row r="281" s="75" customFormat="1" x14ac:dyDescent="0.15"/>
    <row r="282" s="75" customFormat="1" x14ac:dyDescent="0.15"/>
    <row r="283" s="75" customFormat="1" x14ac:dyDescent="0.15"/>
    <row r="284" s="75" customFormat="1" x14ac:dyDescent="0.15"/>
    <row r="285" s="75" customFormat="1" x14ac:dyDescent="0.15"/>
    <row r="286" s="75" customFormat="1" x14ac:dyDescent="0.15"/>
    <row r="287" s="75" customFormat="1" x14ac:dyDescent="0.15"/>
    <row r="288" s="75" customFormat="1" x14ac:dyDescent="0.15"/>
    <row r="289" s="75" customFormat="1" x14ac:dyDescent="0.15"/>
    <row r="290" s="75" customFormat="1" x14ac:dyDescent="0.15"/>
    <row r="291" s="75" customFormat="1" x14ac:dyDescent="0.15"/>
    <row r="292" s="75" customFormat="1" x14ac:dyDescent="0.15"/>
    <row r="293" s="75" customFormat="1" x14ac:dyDescent="0.15"/>
    <row r="294" s="75" customFormat="1" x14ac:dyDescent="0.15"/>
    <row r="295" s="75" customFormat="1" x14ac:dyDescent="0.15"/>
    <row r="296" s="75" customFormat="1" x14ac:dyDescent="0.15"/>
    <row r="297" s="75" customFormat="1" x14ac:dyDescent="0.15"/>
    <row r="298" s="75" customFormat="1" x14ac:dyDescent="0.15"/>
    <row r="299" s="75" customFormat="1" x14ac:dyDescent="0.15"/>
    <row r="300" s="75" customFormat="1" x14ac:dyDescent="0.15"/>
    <row r="301" s="75" customFormat="1" x14ac:dyDescent="0.15"/>
    <row r="302" s="75" customFormat="1" x14ac:dyDescent="0.15"/>
    <row r="303" s="75" customFormat="1" x14ac:dyDescent="0.15"/>
    <row r="304" s="75" customFormat="1" x14ac:dyDescent="0.15"/>
    <row r="305" s="75" customFormat="1" x14ac:dyDescent="0.15"/>
    <row r="306" s="75" customFormat="1" x14ac:dyDescent="0.15"/>
    <row r="307" s="75" customFormat="1" x14ac:dyDescent="0.15"/>
    <row r="308" s="75" customFormat="1" x14ac:dyDescent="0.15"/>
    <row r="309" s="75" customFormat="1" x14ac:dyDescent="0.15"/>
    <row r="310" s="75" customFormat="1" x14ac:dyDescent="0.15"/>
    <row r="311" s="75" customFormat="1" x14ac:dyDescent="0.15"/>
    <row r="312" s="75" customFormat="1" x14ac:dyDescent="0.15"/>
    <row r="313" s="75" customFormat="1" x14ac:dyDescent="0.15"/>
    <row r="314" s="75" customFormat="1" x14ac:dyDescent="0.15"/>
    <row r="315" s="75" customFormat="1" x14ac:dyDescent="0.15"/>
    <row r="316" s="75" customFormat="1" x14ac:dyDescent="0.15"/>
    <row r="317" s="75" customFormat="1" x14ac:dyDescent="0.15"/>
    <row r="318" s="75" customFormat="1" x14ac:dyDescent="0.15"/>
    <row r="319" s="75" customFormat="1" x14ac:dyDescent="0.15"/>
    <row r="320" s="75" customFormat="1" x14ac:dyDescent="0.15"/>
    <row r="321" s="75" customFormat="1" x14ac:dyDescent="0.15"/>
    <row r="322" s="75" customFormat="1" x14ac:dyDescent="0.15"/>
    <row r="323" s="75" customFormat="1" x14ac:dyDescent="0.15"/>
    <row r="324" s="75" customFormat="1" x14ac:dyDescent="0.15"/>
    <row r="325" s="75" customFormat="1" x14ac:dyDescent="0.15"/>
    <row r="326" s="75" customFormat="1" x14ac:dyDescent="0.15"/>
    <row r="327" s="75" customFormat="1" x14ac:dyDescent="0.15"/>
    <row r="328" s="75" customFormat="1" x14ac:dyDescent="0.15"/>
    <row r="329" s="75" customFormat="1" x14ac:dyDescent="0.15"/>
    <row r="330" s="75" customFormat="1" x14ac:dyDescent="0.15"/>
    <row r="331" s="75" customFormat="1" x14ac:dyDescent="0.15"/>
    <row r="332" s="75" customFormat="1" x14ac:dyDescent="0.15"/>
    <row r="333" s="75" customFormat="1" x14ac:dyDescent="0.15"/>
    <row r="334" s="75" customFormat="1" x14ac:dyDescent="0.15"/>
    <row r="335" s="75" customFormat="1" x14ac:dyDescent="0.15"/>
    <row r="336" s="75" customFormat="1" x14ac:dyDescent="0.15"/>
    <row r="337" s="75" customFormat="1" x14ac:dyDescent="0.15"/>
    <row r="338" s="75" customFormat="1" x14ac:dyDescent="0.15"/>
    <row r="339" s="75" customFormat="1" x14ac:dyDescent="0.15"/>
    <row r="340" s="75" customFormat="1" x14ac:dyDescent="0.15"/>
    <row r="341" s="75" customFormat="1" x14ac:dyDescent="0.15"/>
    <row r="342" s="75" customFormat="1" x14ac:dyDescent="0.15"/>
    <row r="343" s="75" customFormat="1" x14ac:dyDescent="0.15"/>
    <row r="344" s="75" customFormat="1" x14ac:dyDescent="0.15"/>
    <row r="345" s="75" customFormat="1" x14ac:dyDescent="0.15"/>
    <row r="346" s="75" customFormat="1" x14ac:dyDescent="0.15"/>
    <row r="347" s="75" customFormat="1" x14ac:dyDescent="0.15"/>
    <row r="348" s="75" customFormat="1" x14ac:dyDescent="0.15"/>
    <row r="349" s="75" customFormat="1" x14ac:dyDescent="0.15"/>
    <row r="350" s="75" customFormat="1" x14ac:dyDescent="0.15"/>
    <row r="351" s="75" customFormat="1" x14ac:dyDescent="0.15"/>
    <row r="352" s="75" customFormat="1" x14ac:dyDescent="0.15"/>
    <row r="353" s="75" customFormat="1" x14ac:dyDescent="0.15"/>
    <row r="354" s="75" customFormat="1" x14ac:dyDescent="0.15"/>
    <row r="355" s="75" customFormat="1" x14ac:dyDescent="0.15"/>
    <row r="356" s="75" customFormat="1" x14ac:dyDescent="0.15"/>
    <row r="357" s="75" customFormat="1" x14ac:dyDescent="0.15"/>
    <row r="358" s="75" customFormat="1" x14ac:dyDescent="0.15"/>
    <row r="359" s="75" customFormat="1" x14ac:dyDescent="0.15"/>
    <row r="360" s="75" customFormat="1" x14ac:dyDescent="0.15"/>
    <row r="361" s="75" customFormat="1" x14ac:dyDescent="0.15"/>
    <row r="362" s="75" customFormat="1" x14ac:dyDescent="0.15"/>
    <row r="363" s="75" customFormat="1" x14ac:dyDescent="0.15"/>
    <row r="364" s="75" customFormat="1" x14ac:dyDescent="0.15"/>
    <row r="365" s="75" customFormat="1" x14ac:dyDescent="0.15"/>
    <row r="366" s="75" customFormat="1" x14ac:dyDescent="0.15"/>
    <row r="367" s="75" customFormat="1" x14ac:dyDescent="0.15"/>
    <row r="368" s="75" customFormat="1" x14ac:dyDescent="0.15"/>
    <row r="369" s="75" customFormat="1" x14ac:dyDescent="0.15"/>
    <row r="370" s="75" customFormat="1" x14ac:dyDescent="0.15"/>
    <row r="371" s="75" customFormat="1" x14ac:dyDescent="0.15"/>
    <row r="372" s="75" customFormat="1" x14ac:dyDescent="0.15"/>
    <row r="373" s="75" customFormat="1" x14ac:dyDescent="0.15"/>
    <row r="374" s="75" customFormat="1" x14ac:dyDescent="0.15"/>
    <row r="375" s="75" customFormat="1" x14ac:dyDescent="0.15"/>
    <row r="376" s="75" customFormat="1" x14ac:dyDescent="0.15"/>
    <row r="377" s="75" customFormat="1" x14ac:dyDescent="0.15"/>
    <row r="378" s="75" customFormat="1" x14ac:dyDescent="0.15"/>
    <row r="379" s="75" customFormat="1" x14ac:dyDescent="0.15"/>
    <row r="380" s="75" customFormat="1" x14ac:dyDescent="0.15"/>
    <row r="381" s="75" customFormat="1" x14ac:dyDescent="0.15"/>
    <row r="382" s="75" customFormat="1" x14ac:dyDescent="0.15"/>
    <row r="383" s="75" customFormat="1" x14ac:dyDescent="0.15"/>
    <row r="384" s="75" customFormat="1" x14ac:dyDescent="0.15"/>
    <row r="385" s="75" customFormat="1" x14ac:dyDescent="0.15"/>
    <row r="386" s="75" customFormat="1" x14ac:dyDescent="0.15"/>
    <row r="387" s="75" customFormat="1" x14ac:dyDescent="0.15"/>
    <row r="388" s="75" customFormat="1" x14ac:dyDescent="0.15"/>
    <row r="389" s="75" customFormat="1" x14ac:dyDescent="0.15"/>
    <row r="390" s="75" customFormat="1" x14ac:dyDescent="0.15"/>
    <row r="391" s="75" customFormat="1" x14ac:dyDescent="0.15"/>
    <row r="392" s="75" customFormat="1" x14ac:dyDescent="0.15"/>
    <row r="393" s="75" customFormat="1" x14ac:dyDescent="0.15"/>
    <row r="394" s="75" customFormat="1" x14ac:dyDescent="0.15"/>
    <row r="395" s="75" customFormat="1" x14ac:dyDescent="0.15"/>
    <row r="396" s="75" customFormat="1" x14ac:dyDescent="0.15"/>
    <row r="397" s="75" customFormat="1" x14ac:dyDescent="0.15"/>
    <row r="398" s="75" customFormat="1" x14ac:dyDescent="0.15"/>
    <row r="399" s="75" customFormat="1" x14ac:dyDescent="0.15"/>
    <row r="400" s="75" customFormat="1" x14ac:dyDescent="0.15"/>
    <row r="401" s="75" customFormat="1" x14ac:dyDescent="0.15"/>
    <row r="402" s="75" customFormat="1" x14ac:dyDescent="0.15"/>
    <row r="403" s="75" customFormat="1" x14ac:dyDescent="0.15"/>
    <row r="404" s="75" customFormat="1" x14ac:dyDescent="0.15"/>
    <row r="405" s="75" customFormat="1" x14ac:dyDescent="0.15"/>
    <row r="406" s="75" customFormat="1" x14ac:dyDescent="0.15"/>
    <row r="407" s="75" customFormat="1" x14ac:dyDescent="0.15"/>
    <row r="408" s="75" customFormat="1" x14ac:dyDescent="0.15"/>
    <row r="409" s="75" customFormat="1" x14ac:dyDescent="0.15"/>
    <row r="410" s="75" customFormat="1" x14ac:dyDescent="0.15"/>
    <row r="411" s="75" customFormat="1" x14ac:dyDescent="0.15"/>
    <row r="412" s="75" customFormat="1" x14ac:dyDescent="0.15"/>
    <row r="413" s="75" customFormat="1" x14ac:dyDescent="0.15"/>
    <row r="414" s="75" customFormat="1" x14ac:dyDescent="0.15"/>
    <row r="415" s="75" customFormat="1" x14ac:dyDescent="0.15"/>
    <row r="416" s="75" customFormat="1" x14ac:dyDescent="0.15"/>
    <row r="417" s="75" customFormat="1" x14ac:dyDescent="0.15"/>
    <row r="418" s="75" customFormat="1" x14ac:dyDescent="0.15"/>
    <row r="419" s="75" customFormat="1" x14ac:dyDescent="0.15"/>
    <row r="420" s="75" customFormat="1" x14ac:dyDescent="0.15"/>
    <row r="421" s="75" customFormat="1" x14ac:dyDescent="0.15"/>
    <row r="422" s="75" customFormat="1" x14ac:dyDescent="0.15"/>
    <row r="423" s="75" customFormat="1" x14ac:dyDescent="0.15"/>
    <row r="424" s="75" customFormat="1" x14ac:dyDescent="0.15"/>
    <row r="425" s="75" customFormat="1" x14ac:dyDescent="0.15"/>
    <row r="426" s="75" customFormat="1" x14ac:dyDescent="0.15"/>
    <row r="427" s="75" customFormat="1" x14ac:dyDescent="0.15"/>
    <row r="428" s="75" customFormat="1" x14ac:dyDescent="0.15"/>
    <row r="429" s="75" customFormat="1" x14ac:dyDescent="0.15"/>
    <row r="430" s="75" customFormat="1" x14ac:dyDescent="0.15"/>
    <row r="431" s="75" customFormat="1" x14ac:dyDescent="0.15"/>
    <row r="432" s="75" customFormat="1" x14ac:dyDescent="0.15"/>
    <row r="433" s="75" customFormat="1" x14ac:dyDescent="0.15"/>
    <row r="434" s="75" customFormat="1" x14ac:dyDescent="0.15"/>
    <row r="435" s="75" customFormat="1" x14ac:dyDescent="0.15"/>
    <row r="436" s="75" customFormat="1" x14ac:dyDescent="0.15"/>
    <row r="437" s="75" customFormat="1" x14ac:dyDescent="0.15"/>
    <row r="438" s="75" customFormat="1" x14ac:dyDescent="0.15"/>
    <row r="439" s="75" customFormat="1" x14ac:dyDescent="0.15"/>
    <row r="440" s="75" customFormat="1" x14ac:dyDescent="0.15"/>
    <row r="441" s="75" customFormat="1" x14ac:dyDescent="0.15"/>
    <row r="442" s="75" customFormat="1" x14ac:dyDescent="0.15"/>
    <row r="443" s="75" customFormat="1" x14ac:dyDescent="0.15"/>
    <row r="444" s="75" customFormat="1" x14ac:dyDescent="0.15"/>
    <row r="445" s="75" customFormat="1" x14ac:dyDescent="0.15"/>
    <row r="446" s="75" customFormat="1" x14ac:dyDescent="0.15"/>
    <row r="447" s="75" customFormat="1" x14ac:dyDescent="0.15"/>
    <row r="448" s="75" customFormat="1" x14ac:dyDescent="0.15"/>
    <row r="449" s="75" customFormat="1" x14ac:dyDescent="0.15"/>
    <row r="450" s="75" customFormat="1" x14ac:dyDescent="0.15"/>
    <row r="451" s="75" customFormat="1" x14ac:dyDescent="0.15"/>
    <row r="452" s="75" customFormat="1" x14ac:dyDescent="0.15"/>
    <row r="453" s="75" customFormat="1" x14ac:dyDescent="0.15"/>
    <row r="454" s="75" customFormat="1" x14ac:dyDescent="0.15"/>
    <row r="455" s="75" customFormat="1" x14ac:dyDescent="0.15"/>
    <row r="456" s="75" customFormat="1" x14ac:dyDescent="0.15"/>
    <row r="457" s="75" customFormat="1" x14ac:dyDescent="0.15"/>
  </sheetData>
  <sheetProtection algorithmName="SHA-512" hashValue="t73rv9v3GIK9VUjzBEeqCA80LJdq9BWib2mkPfg2ePejZIYFPC0YyFuzkviAsz5SR8F5TR03xXGJV3r/X8cDEQ==" saltValue="IkPoSGp3M1YHnjJ3Rb4T9w==" spinCount="100000" sheet="1" objects="1" scenarios="1"/>
  <protectedRanges>
    <protectedRange sqref="D6:M6" name="Bereik4"/>
    <protectedRange sqref="D6:M6 N8 P6:Q6 D12 P10 D10 H12 P8:Q8" name="Bereik1"/>
    <protectedRange sqref="L12" name="Bereik2"/>
    <protectedRange sqref="D12 H12 D10 L12 P6:Q6 D3:I3 P8:Q8" name="Bereik3"/>
  </protectedRanges>
  <mergeCells count="3">
    <mergeCell ref="D20:E20"/>
    <mergeCell ref="D3:I3"/>
    <mergeCell ref="D10:E10"/>
  </mergeCells>
  <conditionalFormatting sqref="P10">
    <cfRule type="expression" dxfId="10" priority="20">
      <formula>$P$8="Lw"</formula>
    </cfRule>
  </conditionalFormatting>
  <conditionalFormatting sqref="N9 O10:Q10">
    <cfRule type="expression" dxfId="9" priority="19">
      <formula>$P$8="Lw"</formula>
    </cfRule>
  </conditionalFormatting>
  <conditionalFormatting sqref="D6">
    <cfRule type="expression" dxfId="8" priority="17">
      <formula>D6=""</formula>
    </cfRule>
  </conditionalFormatting>
  <conditionalFormatting sqref="E6:M6">
    <cfRule type="expression" dxfId="7" priority="8">
      <formula>E6=""</formula>
    </cfRule>
  </conditionalFormatting>
  <conditionalFormatting sqref="D3">
    <cfRule type="expression" dxfId="6" priority="7">
      <formula>D3=""</formula>
    </cfRule>
  </conditionalFormatting>
  <conditionalFormatting sqref="P6:Q6">
    <cfRule type="expression" dxfId="5" priority="6">
      <formula>P6=""</formula>
    </cfRule>
  </conditionalFormatting>
  <conditionalFormatting sqref="P8:Q8">
    <cfRule type="expression" dxfId="4" priority="5">
      <formula>P8=""</formula>
    </cfRule>
  </conditionalFormatting>
  <conditionalFormatting sqref="N8">
    <cfRule type="expression" dxfId="3" priority="4">
      <formula>N8=""</formula>
    </cfRule>
  </conditionalFormatting>
  <conditionalFormatting sqref="D10 D12 H12 L12">
    <cfRule type="expression" dxfId="2" priority="3">
      <formula>D10=""</formula>
    </cfRule>
  </conditionalFormatting>
  <conditionalFormatting sqref="D8">
    <cfRule type="expression" dxfId="1" priority="2">
      <formula>D8=""</formula>
    </cfRule>
  </conditionalFormatting>
  <conditionalFormatting sqref="E8:M8">
    <cfRule type="expression" dxfId="0" priority="1">
      <formula>E8=""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selectieblad!$B$2:$B$4</xm:f>
          </x14:formula1>
          <xm:sqref>P6</xm:sqref>
        </x14:dataValidation>
        <x14:dataValidation type="list" allowBlank="1" showInputMessage="1" showErrorMessage="1">
          <x14:formula1>
            <xm:f>selectieblad!$D$2:$D$4</xm:f>
          </x14:formula1>
          <xm:sqref>Q6 Q8</xm:sqref>
        </x14:dataValidation>
        <x14:dataValidation type="list" allowBlank="1" showInputMessage="1" showErrorMessage="1">
          <x14:formula1>
            <xm:f>selectieblad!$C$2:$C$3</xm:f>
          </x14:formula1>
          <xm:sqref>P8</xm:sqref>
        </x14:dataValidation>
        <x14:dataValidation type="list" allowBlank="1" showInputMessage="1" showErrorMessage="1">
          <x14:formula1>
            <xm:f>selectieblad!$E$2:$E$6</xm:f>
          </x14:formula1>
          <xm:sqref>D10</xm:sqref>
        </x14:dataValidation>
        <x14:dataValidation type="list" allowBlank="1" showInputMessage="1" showErrorMessage="1">
          <x14:formula1>
            <xm:f>selectieblad!$F$4:$F$5</xm:f>
          </x14:formula1>
          <xm:sqref>D3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C11:J40"/>
  <sheetViews>
    <sheetView workbookViewId="0">
      <selection activeCell="E22" sqref="E22"/>
    </sheetView>
  </sheetViews>
  <sheetFormatPr defaultRowHeight="11.25" x14ac:dyDescent="0.15"/>
  <sheetData>
    <row r="11" spans="3:10" x14ac:dyDescent="0.15">
      <c r="C11">
        <v>350</v>
      </c>
      <c r="D11" t="e">
        <f>C11/Energy_label!D17</f>
        <v>#N/A</v>
      </c>
      <c r="E11" t="e">
        <f>LN(D11)/LN(2)</f>
        <v>#N/A</v>
      </c>
      <c r="F11" t="e">
        <f>2^(E11)</f>
        <v>#N/A</v>
      </c>
      <c r="G11" t="s">
        <v>100</v>
      </c>
      <c r="H11">
        <f>-9/4</f>
        <v>-2.25</v>
      </c>
      <c r="I11">
        <v>1</v>
      </c>
      <c r="J11" t="e">
        <f>MATCH(E11,H11:H40,1)</f>
        <v>#N/A</v>
      </c>
    </row>
    <row r="12" spans="3:10" x14ac:dyDescent="0.15">
      <c r="D12">
        <v>200</v>
      </c>
      <c r="G12" t="s">
        <v>101</v>
      </c>
      <c r="H12">
        <f>H11+0.5</f>
        <v>-1.75</v>
      </c>
      <c r="I12">
        <v>2</v>
      </c>
    </row>
    <row r="13" spans="3:10" x14ac:dyDescent="0.15">
      <c r="D13">
        <v>280</v>
      </c>
      <c r="G13" t="s">
        <v>102</v>
      </c>
      <c r="H13">
        <f t="shared" ref="H13:H40" si="0">H12+0.5</f>
        <v>-1.25</v>
      </c>
      <c r="I13">
        <v>3</v>
      </c>
    </row>
    <row r="14" spans="3:10" x14ac:dyDescent="0.15">
      <c r="D14">
        <v>590</v>
      </c>
      <c r="G14" t="s">
        <v>103</v>
      </c>
      <c r="H14">
        <f t="shared" si="0"/>
        <v>-0.75</v>
      </c>
      <c r="I14">
        <v>4</v>
      </c>
    </row>
    <row r="15" spans="3:10" x14ac:dyDescent="0.15">
      <c r="G15" t="s">
        <v>76</v>
      </c>
      <c r="H15">
        <f t="shared" si="0"/>
        <v>-0.25</v>
      </c>
      <c r="I15">
        <v>5</v>
      </c>
    </row>
    <row r="16" spans="3:10" x14ac:dyDescent="0.15">
      <c r="G16" t="s">
        <v>77</v>
      </c>
      <c r="H16">
        <f t="shared" si="0"/>
        <v>0.25</v>
      </c>
      <c r="I16">
        <v>6</v>
      </c>
    </row>
    <row r="17" spans="7:9" x14ac:dyDescent="0.15">
      <c r="G17" t="s">
        <v>78</v>
      </c>
      <c r="H17">
        <f t="shared" si="0"/>
        <v>0.75</v>
      </c>
      <c r="I17">
        <v>7</v>
      </c>
    </row>
    <row r="18" spans="7:9" x14ac:dyDescent="0.15">
      <c r="G18" t="s">
        <v>79</v>
      </c>
      <c r="H18">
        <f t="shared" si="0"/>
        <v>1.25</v>
      </c>
      <c r="I18">
        <v>8</v>
      </c>
    </row>
    <row r="19" spans="7:9" x14ac:dyDescent="0.15">
      <c r="G19" t="s">
        <v>80</v>
      </c>
      <c r="H19">
        <f t="shared" si="0"/>
        <v>1.75</v>
      </c>
      <c r="I19">
        <v>9</v>
      </c>
    </row>
    <row r="20" spans="7:9" x14ac:dyDescent="0.15">
      <c r="G20" t="s">
        <v>81</v>
      </c>
      <c r="H20">
        <f t="shared" si="0"/>
        <v>2.25</v>
      </c>
      <c r="I20">
        <v>10</v>
      </c>
    </row>
    <row r="21" spans="7:9" x14ac:dyDescent="0.15">
      <c r="G21" t="s">
        <v>82</v>
      </c>
      <c r="H21">
        <f t="shared" si="0"/>
        <v>2.75</v>
      </c>
      <c r="I21">
        <v>11</v>
      </c>
    </row>
    <row r="22" spans="7:9" x14ac:dyDescent="0.15">
      <c r="G22" t="s">
        <v>83</v>
      </c>
      <c r="H22">
        <f t="shared" si="0"/>
        <v>3.25</v>
      </c>
      <c r="I22">
        <v>12</v>
      </c>
    </row>
    <row r="23" spans="7:9" x14ac:dyDescent="0.15">
      <c r="G23" t="s">
        <v>53</v>
      </c>
      <c r="H23">
        <f t="shared" si="0"/>
        <v>3.75</v>
      </c>
      <c r="I23">
        <v>13</v>
      </c>
    </row>
    <row r="24" spans="7:9" x14ac:dyDescent="0.15">
      <c r="G24" t="s">
        <v>105</v>
      </c>
      <c r="H24">
        <f t="shared" si="0"/>
        <v>4.25</v>
      </c>
      <c r="I24">
        <v>14</v>
      </c>
    </row>
    <row r="25" spans="7:9" x14ac:dyDescent="0.15">
      <c r="G25" t="s">
        <v>84</v>
      </c>
      <c r="H25">
        <f t="shared" si="0"/>
        <v>4.75</v>
      </c>
      <c r="I25">
        <v>15</v>
      </c>
    </row>
    <row r="26" spans="7:9" x14ac:dyDescent="0.15">
      <c r="G26" t="s">
        <v>85</v>
      </c>
      <c r="H26">
        <f t="shared" si="0"/>
        <v>5.25</v>
      </c>
      <c r="I26">
        <v>16</v>
      </c>
    </row>
    <row r="27" spans="7:9" x14ac:dyDescent="0.15">
      <c r="G27" t="s">
        <v>86</v>
      </c>
      <c r="H27">
        <f t="shared" si="0"/>
        <v>5.75</v>
      </c>
      <c r="I27">
        <v>17</v>
      </c>
    </row>
    <row r="28" spans="7:9" x14ac:dyDescent="0.15">
      <c r="G28" t="s">
        <v>87</v>
      </c>
      <c r="H28">
        <f t="shared" si="0"/>
        <v>6.25</v>
      </c>
      <c r="I28">
        <v>18</v>
      </c>
    </row>
    <row r="29" spans="7:9" x14ac:dyDescent="0.15">
      <c r="G29" t="s">
        <v>88</v>
      </c>
      <c r="H29">
        <f t="shared" si="0"/>
        <v>6.75</v>
      </c>
      <c r="I29">
        <v>19</v>
      </c>
    </row>
    <row r="30" spans="7:9" x14ac:dyDescent="0.15">
      <c r="G30" t="s">
        <v>89</v>
      </c>
      <c r="H30">
        <f t="shared" si="0"/>
        <v>7.25</v>
      </c>
      <c r="I30">
        <v>20</v>
      </c>
    </row>
    <row r="31" spans="7:9" x14ac:dyDescent="0.15">
      <c r="G31" t="s">
        <v>90</v>
      </c>
      <c r="H31">
        <f t="shared" si="0"/>
        <v>7.75</v>
      </c>
      <c r="I31">
        <v>21</v>
      </c>
    </row>
    <row r="32" spans="7:9" x14ac:dyDescent="0.15">
      <c r="G32" t="s">
        <v>91</v>
      </c>
      <c r="H32">
        <f t="shared" si="0"/>
        <v>8.25</v>
      </c>
      <c r="I32">
        <v>22</v>
      </c>
    </row>
    <row r="33" spans="7:9" x14ac:dyDescent="0.15">
      <c r="G33" t="s">
        <v>92</v>
      </c>
      <c r="H33">
        <f t="shared" si="0"/>
        <v>8.75</v>
      </c>
      <c r="I33">
        <v>23</v>
      </c>
    </row>
    <row r="34" spans="7:9" x14ac:dyDescent="0.15">
      <c r="G34" t="s">
        <v>93</v>
      </c>
      <c r="H34">
        <f t="shared" si="0"/>
        <v>9.25</v>
      </c>
      <c r="I34">
        <v>24</v>
      </c>
    </row>
    <row r="35" spans="7:9" x14ac:dyDescent="0.15">
      <c r="G35" t="s">
        <v>94</v>
      </c>
      <c r="H35">
        <f t="shared" si="0"/>
        <v>9.75</v>
      </c>
      <c r="I35">
        <v>25</v>
      </c>
    </row>
    <row r="36" spans="7:9" x14ac:dyDescent="0.15">
      <c r="G36" t="s">
        <v>95</v>
      </c>
      <c r="H36">
        <f t="shared" si="0"/>
        <v>10.25</v>
      </c>
      <c r="I36">
        <v>26</v>
      </c>
    </row>
    <row r="37" spans="7:9" x14ac:dyDescent="0.15">
      <c r="G37" t="s">
        <v>96</v>
      </c>
      <c r="H37">
        <f t="shared" si="0"/>
        <v>10.75</v>
      </c>
      <c r="I37">
        <v>27</v>
      </c>
    </row>
    <row r="38" spans="7:9" x14ac:dyDescent="0.15">
      <c r="G38" t="s">
        <v>97</v>
      </c>
      <c r="H38">
        <f t="shared" si="0"/>
        <v>11.25</v>
      </c>
      <c r="I38">
        <v>28</v>
      </c>
    </row>
    <row r="39" spans="7:9" x14ac:dyDescent="0.15">
      <c r="G39" t="s">
        <v>99</v>
      </c>
      <c r="H39">
        <f t="shared" si="0"/>
        <v>11.75</v>
      </c>
      <c r="I39">
        <v>29</v>
      </c>
    </row>
    <row r="40" spans="7:9" x14ac:dyDescent="0.15">
      <c r="G40" t="s">
        <v>98</v>
      </c>
      <c r="H40">
        <f t="shared" si="0"/>
        <v>12.25</v>
      </c>
      <c r="I40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datablad</vt:lpstr>
      <vt:lpstr>rekenblad</vt:lpstr>
      <vt:lpstr>T_datablad</vt:lpstr>
      <vt:lpstr>selectieblad</vt:lpstr>
      <vt:lpstr>Energy_label</vt:lpstr>
      <vt:lpstr>Blad1</vt:lpstr>
    </vt:vector>
  </TitlesOfParts>
  <Company>Alara-Lukagro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van Dijk</dc:creator>
  <cp:lastModifiedBy>Chris van Dijk</cp:lastModifiedBy>
  <dcterms:created xsi:type="dcterms:W3CDTF">2016-08-08T12:06:45Z</dcterms:created>
  <dcterms:modified xsi:type="dcterms:W3CDTF">2022-07-10T08:04:43Z</dcterms:modified>
</cp:coreProperties>
</file>